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payment summary" sheetId="1" r:id="rId1"/>
  </sheets>
  <externalReferences>
    <externalReference r:id="rId4"/>
  </externalReferences>
  <definedNames>
    <definedName name="_Fill" hidden="1">#REF!</definedName>
    <definedName name="_xlnm.Print_Area" localSheetId="0">'payment summary'!#REF!</definedName>
  </definedNames>
  <calcPr fullCalcOnLoad="1"/>
</workbook>
</file>

<file path=xl/sharedStrings.xml><?xml version="1.0" encoding="utf-8"?>
<sst xmlns="http://schemas.openxmlformats.org/spreadsheetml/2006/main" count="238" uniqueCount="198">
  <si>
    <t>CHARTER SCHOOL DEBT RESERVE, INTERCEPT AND TREASURY FEE PAYMENTS</t>
  </si>
  <si>
    <t>CRS 22-30.5-406 AND 22-30.5-407</t>
  </si>
  <si>
    <t>Classical (#1627104004A)</t>
  </si>
  <si>
    <t>Debt Reserve</t>
  </si>
  <si>
    <t>Treasury Fee</t>
  </si>
  <si>
    <t>Intercept</t>
  </si>
  <si>
    <t>Total for Classical</t>
  </si>
  <si>
    <t>Pinnacle (#6950002004A)</t>
  </si>
  <si>
    <t>Total for Pinnacle</t>
  </si>
  <si>
    <t>Pioneer (#0145155004A)</t>
  </si>
  <si>
    <t>Total for Pioneer</t>
  </si>
  <si>
    <t>Total for Leadership Academy</t>
  </si>
  <si>
    <t>Liberty Common (#5120155004A)</t>
  </si>
  <si>
    <t>Total for Liberty Common</t>
  </si>
  <si>
    <t>Cheyenne Mountain (#1582102004A)</t>
  </si>
  <si>
    <t>Total for Cheyenne Mountain</t>
  </si>
  <si>
    <t>Total for Excel Academy</t>
  </si>
  <si>
    <t>Challenge to Excellence (#1512090004A)</t>
  </si>
  <si>
    <t>Total for Challenge to Excellence</t>
  </si>
  <si>
    <t>Montessori Peaks (#5994142004A)</t>
  </si>
  <si>
    <t>Total for Montessori Peaks</t>
  </si>
  <si>
    <t>Peak to Peak (#6816048004A)</t>
  </si>
  <si>
    <t>Total for Peak to Peak</t>
  </si>
  <si>
    <t>Collegiate Academy (#7701142004A)</t>
  </si>
  <si>
    <t>Total for Collegiate Academy</t>
  </si>
  <si>
    <t>Academy of Charter Schools (#0015002004A)</t>
  </si>
  <si>
    <t>Total for Academy of Charter Schools</t>
  </si>
  <si>
    <t>University Lab Charter School (#2850312005A)</t>
  </si>
  <si>
    <t>Total for University Lab Charter School</t>
  </si>
  <si>
    <t>James Irwin Charter High School (#4378098005A)</t>
  </si>
  <si>
    <t>Total for James Irwin Charter High School</t>
  </si>
  <si>
    <t>James Irwin Charter Middle School (#4378098005A)</t>
  </si>
  <si>
    <t>Total for James Irwin Charter Middle School</t>
  </si>
  <si>
    <t>Aurora Academy Charter School (#0458018005A)</t>
  </si>
  <si>
    <t>Total for Aurora Academy Charter School</t>
  </si>
  <si>
    <t>Platte River Academy Charter School (#7047090005A)</t>
  </si>
  <si>
    <t>Total for Platte River Academy Charter School</t>
  </si>
  <si>
    <t>Total for Elbert County Charter School</t>
  </si>
  <si>
    <t>Woodrow Wilson Charter School (#9427142005A)</t>
  </si>
  <si>
    <t>Total for Woodrow Wilson Charter School</t>
  </si>
  <si>
    <t>Total for Bromley East Charter School</t>
  </si>
  <si>
    <t>Summary</t>
  </si>
  <si>
    <t>Debt Reserve  (804 WBA)</t>
  </si>
  <si>
    <t>Treasury Fee  (17F WBA)</t>
  </si>
  <si>
    <t>Intercept  (941 WBA)</t>
  </si>
  <si>
    <r>
      <t>Total for all payments</t>
    </r>
    <r>
      <rPr>
        <sz val="10"/>
        <rFont val="Arial"/>
        <family val="2"/>
      </rPr>
      <t xml:space="preserve">  (113 DAA)</t>
    </r>
  </si>
  <si>
    <t>Bromley East Charter School (#1052004005A)</t>
  </si>
  <si>
    <t>Lincoln Academy Charter School (#5145142005A)</t>
  </si>
  <si>
    <t>Total for Lincoln Academy Charter School</t>
  </si>
  <si>
    <t>Excel Academy Charter School (#2799142005A)</t>
  </si>
  <si>
    <t>Total for Excel Academy Charter School</t>
  </si>
  <si>
    <t>Ridgeview Charter School (#0146155005A)</t>
  </si>
  <si>
    <t>Total for Ridgeview Charter School</t>
  </si>
  <si>
    <t>Knowledge Quest Academy (#4785311006A)</t>
  </si>
  <si>
    <t>Total for Knowledge Quest Academy</t>
  </si>
  <si>
    <t>Stargate Charter School (#1519002006A)</t>
  </si>
  <si>
    <t>Total for Stargate Charter School</t>
  </si>
  <si>
    <t>Total for Northern Colorado Academy of Arts</t>
  </si>
  <si>
    <t>Leadership Academy (#5033099004A)</t>
  </si>
  <si>
    <t>Northern Colorado Academy of Arts (#0657999907A)</t>
  </si>
  <si>
    <t>Colorado State Charter School Institute School</t>
  </si>
  <si>
    <t>Academy Charter School (#0011090007A)</t>
  </si>
  <si>
    <t>Total for Academy Charter School</t>
  </si>
  <si>
    <t>Cheyenne Mountain Charter School (#1582102007A)</t>
  </si>
  <si>
    <t>Total for Cheyenne Mountain Charter School</t>
  </si>
  <si>
    <t>Advance refunded</t>
  </si>
  <si>
    <t>Frontier Academy (#1875312007A)</t>
  </si>
  <si>
    <t>Total for Frontier Academy</t>
  </si>
  <si>
    <t>Banning Lewis Ranch Academy (#0555111007A)</t>
  </si>
  <si>
    <t>Total for Banning Lewis Ranch Academy</t>
  </si>
  <si>
    <t>Stargate School (#1519002007A)</t>
  </si>
  <si>
    <t>Total for Stargate School</t>
  </si>
  <si>
    <t>Total for Brighton Charter School</t>
  </si>
  <si>
    <t>Montessori Peaks (#5994142007A)</t>
  </si>
  <si>
    <t>Carbon Valley Academy (#1284047007A)</t>
  </si>
  <si>
    <t>Total for Carbon Valley Academy</t>
  </si>
  <si>
    <t>Littleton Academy Charter School (#5229014007A)</t>
  </si>
  <si>
    <t>Total for Littleton Academy Charter School</t>
  </si>
  <si>
    <t>Union Colony Charter School (#8965312007A)</t>
  </si>
  <si>
    <t>Total for Union Colony Charter School</t>
  </si>
  <si>
    <t>Cesar Chavez Academy (#1488269007A)</t>
  </si>
  <si>
    <t>Total for Cesar Chavez Academy</t>
  </si>
  <si>
    <t>Belle Creek Charter School (#0700004008A)</t>
  </si>
  <si>
    <t>Total for Belle Creek Charter School</t>
  </si>
  <si>
    <t>James Irwin Charter High School (#4378098008A)</t>
  </si>
  <si>
    <t>James Irwin Charter Middle School (#4379098008A)</t>
  </si>
  <si>
    <t>James Irwin Charter Elementary School (#4380098008A)</t>
  </si>
  <si>
    <t>Total for James Irwin Charter Elementary School</t>
  </si>
  <si>
    <t>SD revoked charter / Charter closed</t>
  </si>
  <si>
    <t>Northeast Academy Charter School (#6394088008A)</t>
  </si>
  <si>
    <t>Total for Northeast Academy Charter School</t>
  </si>
  <si>
    <t>Excel Academy (#2799142004A)</t>
  </si>
  <si>
    <t>Windsor Charter Academy (#9665310008A)</t>
  </si>
  <si>
    <t>Total for Windsor Charter Academy</t>
  </si>
  <si>
    <t>James Madison Charter Academy (#5033099008A)</t>
  </si>
  <si>
    <t>Total for James Madison Charter Academy</t>
  </si>
  <si>
    <t>Challenge to Excellence Charter School (#1512090008A)</t>
  </si>
  <si>
    <t>Total for Challenge to Excellence Charter School</t>
  </si>
  <si>
    <t>Total for 21st Century Charter School at Colorado Springs</t>
  </si>
  <si>
    <t>Monument Academy (#5093108008A)</t>
  </si>
  <si>
    <t>Total for Monument Academy</t>
  </si>
  <si>
    <t>Challenges, Choices and Images (#1606088008A)</t>
  </si>
  <si>
    <t>Total for Challenges, Choices and Images</t>
  </si>
  <si>
    <t>Cheyenne Mountain Charter Academy (#1582102008A)</t>
  </si>
  <si>
    <t>Total for Cheyenne Mountain Charter Academy</t>
  </si>
  <si>
    <t>Community Leadership Academy (#1882003008A)</t>
  </si>
  <si>
    <t>Total for Community Leadership Academy</t>
  </si>
  <si>
    <t>***</t>
  </si>
  <si>
    <t>*</t>
  </si>
  <si>
    <t>**</t>
  </si>
  <si>
    <t>New Vision Charter School (#6220156008A)</t>
  </si>
  <si>
    <t>Total for New Vision Charter School</t>
  </si>
  <si>
    <t>Rocky Mountain Academy of Evergreen (#7462142009A)</t>
  </si>
  <si>
    <t>Total for Rocky Mountain Academy of Evergreen</t>
  </si>
  <si>
    <t>Pikes Peak School of Expeditionary Learning (#6935111009A)</t>
  </si>
  <si>
    <t>Total for Pikes Peak of Expeditionary Learning</t>
  </si>
  <si>
    <t>Flagstaff Academy Charter School (#2964047009A)</t>
  </si>
  <si>
    <t>Total for Flagstaff Academy Charter School</t>
  </si>
  <si>
    <t>Academy of Charter Schools (#0015002009A)</t>
  </si>
  <si>
    <t>American Academy (#0215090009A)</t>
  </si>
  <si>
    <t>Total for American Academy</t>
  </si>
  <si>
    <t>North Star Academy (#1579090009A)</t>
  </si>
  <si>
    <t>Total for North Star Academy</t>
  </si>
  <si>
    <t>Twin Peaks Charter Academy (#8927047009A)</t>
  </si>
  <si>
    <t>Total for Twin Peaks Charter Academy</t>
  </si>
  <si>
    <t>The Classical Academy (#1627104009A)</t>
  </si>
  <si>
    <t>Total for The Classical Academy</t>
  </si>
  <si>
    <t>Monument Academy (#5093108009A)</t>
  </si>
  <si>
    <t>Total for Cesar Chavez Academy Denver</t>
  </si>
  <si>
    <t>Cesar Chavez Academy Denver (previously DATA) (#2182088004A)</t>
  </si>
  <si>
    <t>Crown Pointe Academy (#2035007010A)</t>
  </si>
  <si>
    <t>Total for Crown Pointe Academy</t>
  </si>
  <si>
    <t>Pinnacle Charter School (#6914999910A)</t>
  </si>
  <si>
    <t>Total for Pinnacle Charter School</t>
  </si>
  <si>
    <t>High Point Academy (#0655999910A)</t>
  </si>
  <si>
    <t>Total for High Point Academy</t>
  </si>
  <si>
    <t>Colorado Springs Charter Academy (#1791999910A)</t>
  </si>
  <si>
    <t>Total for Colorado Springs Charter Academy</t>
  </si>
  <si>
    <t>Eagle Ridge Academy (previously Brighton Charter School) (#1027004007A)</t>
  </si>
  <si>
    <t>Free Horizon Montessori (#3201142011A)</t>
  </si>
  <si>
    <t>Total for Free Horizon Montessori</t>
  </si>
  <si>
    <t>Parker Core Knowledge (#1873090004A)</t>
  </si>
  <si>
    <t>Total for Parker Core Knowledge</t>
  </si>
  <si>
    <t>Parker Core Knowledge (#1873090011A)</t>
  </si>
  <si>
    <t>Academy of Charter Schools (The Academy) (#0015002011A)</t>
  </si>
  <si>
    <t>Total for The Academy</t>
  </si>
  <si>
    <t>Caprock Academy (#1279999911A)</t>
  </si>
  <si>
    <t>Total for Caprock Academy</t>
  </si>
  <si>
    <t>Highline Academy Charter School (#3987088011A)</t>
  </si>
  <si>
    <t>Total for Highline Academy Charter School</t>
  </si>
  <si>
    <t>Global Village Academy (#3471018011A)</t>
  </si>
  <si>
    <t>Total for Global Village Academy</t>
  </si>
  <si>
    <t>Rocky Mountain Academy of Evergreen (#7462142011A)</t>
  </si>
  <si>
    <t>Twin Peaks Charter Academy (#8927047011A)</t>
  </si>
  <si>
    <t>Liberty Common Charter School (#5120155012A)</t>
  </si>
  <si>
    <t>Total for Liberty Common Charter School</t>
  </si>
  <si>
    <t>Union Colony Charter School (#8965312012A)</t>
  </si>
  <si>
    <t>Cherry Creek Academy Inc. (#1571013012A)</t>
  </si>
  <si>
    <t>Total for Cherry Creek Academy Inc.</t>
  </si>
  <si>
    <t>Jefferson Academy (#4402142012A)</t>
  </si>
  <si>
    <t>Total for Jefferson Academy</t>
  </si>
  <si>
    <t>Legacy Academy (formerly Elbert County Charter School) (#2572092005A)</t>
  </si>
  <si>
    <t>Pikes Peak Prep (formerly 21st Century Charter School) (#8929999908A)</t>
  </si>
  <si>
    <t>Total for STEM School</t>
  </si>
  <si>
    <t>Skyview Academy (#6365090013A)</t>
  </si>
  <si>
    <t>Total for Skyview Academy</t>
  </si>
  <si>
    <t>Westgate Community School (#9431002013A)</t>
  </si>
  <si>
    <t>Total for Westgate Community School</t>
  </si>
  <si>
    <t>DCS Montessori Charter School (#5997090013A)</t>
  </si>
  <si>
    <t>Total for DCS Montessori Charter School</t>
  </si>
  <si>
    <t>Mountain Phoenix Community School (#6139142013A)</t>
  </si>
  <si>
    <t>Total for Mountain Phoenix Community School</t>
  </si>
  <si>
    <t>University Laboratory School (#2850312013A)</t>
  </si>
  <si>
    <t>Total for University Laboratory School</t>
  </si>
  <si>
    <t>American Academy (#0215090013A)</t>
  </si>
  <si>
    <t>Littleton Preparatory Charter School (#5233014013A)</t>
  </si>
  <si>
    <t>Total for Littleton Preparatory Charter School</t>
  </si>
  <si>
    <t>Pinnacle Charter School (#0654800113A)</t>
  </si>
  <si>
    <t>Lincoln Academy (#5145142013A)</t>
  </si>
  <si>
    <t>Total for Lincoln Academy</t>
  </si>
  <si>
    <t>Aurora Academy (#0458018013A)</t>
  </si>
  <si>
    <t>Total for Aurora Academy</t>
  </si>
  <si>
    <t>Cesar Chavez Academy Denver (#1345088014A)</t>
  </si>
  <si>
    <t>Total FY 14</t>
  </si>
  <si>
    <t>Community Leadership Academy (#1882800114A)</t>
  </si>
  <si>
    <r>
      <t xml:space="preserve">STEM School (#5259090013A) </t>
    </r>
    <r>
      <rPr>
        <b/>
        <i/>
        <sz val="12"/>
        <rFont val="Arial"/>
        <family val="2"/>
      </rPr>
      <t>THIS PAYMENT COMBINED W/ SERIES 2013 BELOW</t>
    </r>
  </si>
  <si>
    <t>STEM School (#5259090014A)  [Combined 2012A&amp;B and 2013A&amp;B]</t>
  </si>
  <si>
    <t>Prospect Ridge Academy (#6802002014A)</t>
  </si>
  <si>
    <t>Total for Prospect Ridge Academy</t>
  </si>
  <si>
    <t>Rocky Mountain Classical Academy (#7463111014A)</t>
  </si>
  <si>
    <t>Total for Rocky Mountain Classical Academy</t>
  </si>
  <si>
    <t>Monarch Montessori (#5621088014A)</t>
  </si>
  <si>
    <t>Total for Monarch Montessori</t>
  </si>
  <si>
    <t>27A</t>
  </si>
  <si>
    <t>27B</t>
  </si>
  <si>
    <t>27C</t>
  </si>
  <si>
    <t>Liberty Common School (#5120155014A)</t>
  </si>
  <si>
    <t>Total for Liberty Common School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</si>
</sst>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[$-409]dddd\,\ mmmm\ dd\,\ yyyy"/>
    <numFmt numFmtId="166" formatCode="dd\-mmm\-yy_)"/>
    <numFmt numFmtId="167" formatCode="hh:mm\ AM/PM_)"/>
    <numFmt numFmtId="168" formatCode="mm/dd/yy_)"/>
    <numFmt numFmtId="169" formatCode="0.000%"/>
    <numFmt numFmtId="170" formatCode="0.00_)"/>
    <numFmt numFmtId="171" formatCode="0.000_)"/>
    <numFmt numFmtId="172" formatCode="0.0000_)"/>
    <numFmt numFmtId="173" formatCode="0.0000%"/>
    <numFmt numFmtId="174" formatCode="General_)"/>
    <numFmt numFmtId="175" formatCode="0.00000%"/>
    <numFmt numFmtId="176" formatCode="0.000000%"/>
    <numFmt numFmtId="177" formatCode="0.0000000%"/>
    <numFmt numFmtId="178" formatCode="&quot;$&quot;#,##0.0_);\(&quot;$&quot;#,##0.0\)"/>
    <numFmt numFmtId="179" formatCode="mm/dd/yy"/>
    <numFmt numFmtId="180" formatCode="#,##0.0_);\(#,##0.0\)"/>
    <numFmt numFmtId="181" formatCode="#,##0.000_);\(#,##0.000\)"/>
    <numFmt numFmtId="182" formatCode="#,##0.0000_);\(#,##0.0000\)"/>
    <numFmt numFmtId="183" formatCode="#,##0.00000_);\(#,##0.00000\)"/>
    <numFmt numFmtId="184" formatCode="#,##0.000000_);\(#,##0.000000\)"/>
    <numFmt numFmtId="185" formatCode="#,##0.0000000_);\(#,##0.0000000\)"/>
    <numFmt numFmtId="186" formatCode="#,##0.00000000_);\(#,##0.00000000\)"/>
    <numFmt numFmtId="187" formatCode="#,##0.000000000_);\(#,##0.000000000\)"/>
    <numFmt numFmtId="188" formatCode="#,##0.0000000000_);\(#,##0.0000000000\)"/>
    <numFmt numFmtId="189" formatCode="&quot;$&quot;#,##0.000_);\(&quot;$&quot;#,##0.000\)"/>
    <numFmt numFmtId="190" formatCode="&quot;$&quot;#,##0.0000_);\(&quot;$&quot;#,##0.0000\)"/>
    <numFmt numFmtId="191" formatCode="&quot;$&quot;#,##0.00000_);\(&quot;$&quot;#,##0.00000\)"/>
    <numFmt numFmtId="192" formatCode="0_);\(0\)"/>
    <numFmt numFmtId="193" formatCode="&quot;DSRF Fee @&quot;#,##0.0&quot; b pts&quot;"/>
    <numFmt numFmtId="194" formatCode="_(&quot;$&quot;* #,##0.000_);_(&quot;$&quot;* \(#,##0.000\);_(&quot;$&quot;* &quot;-&quot;??_);_(@_)"/>
    <numFmt numFmtId="195" formatCode="_(&quot;$&quot;* #,##0.0000_);_(&quot;$&quot;* \(#,##0.0000\);_(&quot;$&quot;* &quot;-&quot;??_);_(@_)"/>
    <numFmt numFmtId="196" formatCode="_(&quot;$&quot;* #,##0.0_);_(&quot;$&quot;* \(#,##0.0\);_(&quot;$&quot;* &quot;-&quot;??_);_(@_)"/>
    <numFmt numFmtId="197" formatCode="_(&quot;$&quot;* #,##0_);_(&quot;$&quot;* \(#,##0\);_(&quot;$&quot;* &quot;-&quot;??_);_(@_)"/>
    <numFmt numFmtId="198" formatCode="_(* #,##0.0_);_(* \(#,##0.0\);_(* &quot;-&quot;??_);_(@_)"/>
    <numFmt numFmtId="199" formatCode="_(* #,##0_);_(* \(#,##0\);_(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&lt;=9999999]###\-####;\(###\)\ ###\-####"/>
    <numFmt numFmtId="205" formatCode="m/d/yy;@"/>
    <numFmt numFmtId="206" formatCode="mm/dd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4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4" fontId="2" fillId="0" borderId="0" xfId="0" applyNumberFormat="1" applyFont="1" applyFill="1" applyBorder="1" applyAlignment="1">
      <alignment horizontal="center" wrapText="1"/>
    </xf>
    <xf numFmtId="44" fontId="1" fillId="0" borderId="0" xfId="0" applyNumberFormat="1" applyFont="1" applyFill="1" applyBorder="1" applyAlignment="1">
      <alignment wrapText="1"/>
    </xf>
    <xf numFmtId="43" fontId="0" fillId="0" borderId="0" xfId="0" applyNumberForma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right"/>
    </xf>
    <xf numFmtId="43" fontId="3" fillId="33" borderId="0" xfId="0" applyNumberFormat="1" applyFont="1" applyFill="1" applyBorder="1" applyAlignment="1">
      <alignment/>
    </xf>
    <xf numFmtId="0" fontId="6" fillId="34" borderId="0" xfId="0" applyFont="1" applyFill="1" applyAlignment="1">
      <alignment horizontal="right"/>
    </xf>
    <xf numFmtId="43" fontId="3" fillId="34" borderId="0" xfId="0" applyNumberFormat="1" applyFont="1" applyFill="1" applyBorder="1" applyAlignment="1">
      <alignment/>
    </xf>
    <xf numFmtId="43" fontId="3" fillId="34" borderId="0" xfId="0" applyNumberFormat="1" applyFont="1" applyFill="1" applyBorder="1" applyAlignment="1" quotePrefix="1">
      <alignment horizontal="left"/>
    </xf>
    <xf numFmtId="43" fontId="1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 quotePrefix="1">
      <alignment horizontal="left"/>
    </xf>
    <xf numFmtId="43" fontId="1" fillId="0" borderId="10" xfId="0" applyNumberFormat="1" applyFont="1" applyFill="1" applyBorder="1" applyAlignment="1" quotePrefix="1">
      <alignment horizontal="center"/>
    </xf>
    <xf numFmtId="43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43" fontId="3" fillId="33" borderId="0" xfId="0" applyNumberFormat="1" applyFont="1" applyFill="1" applyBorder="1" applyAlignment="1" quotePrefix="1">
      <alignment horizontal="left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center"/>
    </xf>
    <xf numFmtId="43" fontId="1" fillId="0" borderId="0" xfId="0" applyNumberFormat="1" applyFont="1" applyFill="1" applyBorder="1" applyAlignment="1">
      <alignment/>
    </xf>
    <xf numFmtId="43" fontId="1" fillId="33" borderId="0" xfId="0" applyNumberFormat="1" applyFont="1" applyFill="1" applyBorder="1" applyAlignment="1" quotePrefix="1">
      <alignment horizontal="left"/>
    </xf>
    <xf numFmtId="43" fontId="1" fillId="34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9" fontId="0" fillId="0" borderId="0" xfId="0" applyNumberFormat="1" applyFill="1" applyBorder="1" applyAlignment="1">
      <alignment/>
    </xf>
    <xf numFmtId="39" fontId="1" fillId="0" borderId="11" xfId="0" applyNumberFormat="1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9" fontId="3" fillId="0" borderId="0" xfId="0" applyNumberFormat="1" applyFont="1" applyFill="1" applyBorder="1" applyAlignment="1">
      <alignment/>
    </xf>
    <xf numFmtId="44" fontId="3" fillId="0" borderId="0" xfId="0" applyNumberFormat="1" applyFont="1" applyFill="1" applyBorder="1" applyAlignment="1" quotePrefix="1">
      <alignment horizontal="right" wrapText="1"/>
    </xf>
    <xf numFmtId="39" fontId="1" fillId="0" borderId="12" xfId="0" applyNumberFormat="1" applyFon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Fill="1" applyBorder="1" applyAlignment="1">
      <alignment/>
    </xf>
    <xf numFmtId="43" fontId="3" fillId="35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/>
    </xf>
    <xf numFmtId="43" fontId="3" fillId="36" borderId="0" xfId="0" applyNumberFormat="1" applyFont="1" applyFill="1" applyBorder="1" applyAlignment="1">
      <alignment/>
    </xf>
    <xf numFmtId="0" fontId="6" fillId="36" borderId="0" xfId="0" applyFont="1" applyFill="1" applyAlignment="1">
      <alignment horizontal="right" vertical="center"/>
    </xf>
    <xf numFmtId="43" fontId="3" fillId="36" borderId="0" xfId="0" applyNumberFormat="1" applyFont="1" applyFill="1" applyBorder="1" applyAlignment="1" quotePrefix="1">
      <alignment horizontal="left"/>
    </xf>
    <xf numFmtId="0" fontId="1" fillId="36" borderId="0" xfId="0" applyFont="1" applyFill="1" applyBorder="1" applyAlignment="1">
      <alignment horizontal="left"/>
    </xf>
    <xf numFmtId="43" fontId="3" fillId="37" borderId="0" xfId="0" applyNumberFormat="1" applyFont="1" applyFill="1" applyBorder="1" applyAlignment="1" quotePrefix="1">
      <alignment horizontal="left"/>
    </xf>
    <xf numFmtId="43" fontId="3" fillId="38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164" fontId="3" fillId="39" borderId="0" xfId="0" applyNumberFormat="1" applyFont="1" applyFill="1" applyBorder="1" applyAlignment="1">
      <alignment/>
    </xf>
    <xf numFmtId="39" fontId="0" fillId="39" borderId="0" xfId="0" applyNumberFormat="1" applyFill="1" applyBorder="1" applyAlignment="1">
      <alignment/>
    </xf>
    <xf numFmtId="39" fontId="1" fillId="39" borderId="11" xfId="0" applyNumberFormat="1" applyFont="1" applyFill="1" applyBorder="1" applyAlignment="1">
      <alignment/>
    </xf>
    <xf numFmtId="39" fontId="1" fillId="39" borderId="0" xfId="0" applyNumberFormat="1" applyFont="1" applyFill="1" applyBorder="1" applyAlignment="1">
      <alignment/>
    </xf>
    <xf numFmtId="39" fontId="3" fillId="39" borderId="0" xfId="0" applyNumberFormat="1" applyFont="1" applyFill="1" applyBorder="1" applyAlignment="1">
      <alignment/>
    </xf>
    <xf numFmtId="43" fontId="3" fillId="18" borderId="0" xfId="0" applyNumberFormat="1" applyFont="1" applyFill="1" applyBorder="1" applyAlignment="1">
      <alignment/>
    </xf>
    <xf numFmtId="0" fontId="6" fillId="35" borderId="0" xfId="0" applyFont="1" applyFill="1" applyAlignment="1">
      <alignment horizontal="right" vertical="center"/>
    </xf>
    <xf numFmtId="43" fontId="0" fillId="39" borderId="0" xfId="42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RTER%20SCHOOLS%20DE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eement numbers"/>
      <sheetName val="agreement numbers-institute"/>
      <sheetName val="school summary"/>
      <sheetName val="contacts"/>
      <sheetName val="bond issuances"/>
      <sheetName val="DebtRes"/>
      <sheetName val="payment summary"/>
      <sheetName val="info for cashiers"/>
      <sheetName val="MoralO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35"/>
  <sheetViews>
    <sheetView tabSelected="1" zoomScale="75" zoomScaleNormal="75" zoomScalePageLayoutView="0" workbookViewId="0" topLeftCell="A1">
      <pane xSplit="3" ySplit="2" topLeftCell="BA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E1" sqref="BE1"/>
    </sheetView>
  </sheetViews>
  <sheetFormatPr defaultColWidth="9.140625" defaultRowHeight="5.25" customHeight="1"/>
  <cols>
    <col min="1" max="1" width="5.7109375" style="1" customWidth="1"/>
    <col min="2" max="2" width="4.7109375" style="1" customWidth="1"/>
    <col min="3" max="3" width="89.8515625" style="0" customWidth="1"/>
    <col min="4" max="29" width="16.28125" style="0" customWidth="1"/>
    <col min="30" max="56" width="16.00390625" style="0" bestFit="1" customWidth="1"/>
    <col min="57" max="57" width="16.00390625" style="42" bestFit="1" customWidth="1"/>
    <col min="58" max="58" width="17.421875" style="0" customWidth="1"/>
  </cols>
  <sheetData>
    <row r="1" ht="37.5">
      <c r="C1" s="2" t="s">
        <v>0</v>
      </c>
    </row>
    <row r="2" spans="3:58" ht="15.75">
      <c r="C2" s="3" t="s">
        <v>1</v>
      </c>
      <c r="AT2" s="25">
        <v>41456</v>
      </c>
      <c r="AU2" s="25">
        <v>41487</v>
      </c>
      <c r="AV2" s="25">
        <v>41518</v>
      </c>
      <c r="AW2" s="25">
        <v>41548</v>
      </c>
      <c r="AX2" s="25">
        <v>41579</v>
      </c>
      <c r="AY2" s="25">
        <v>41609</v>
      </c>
      <c r="AZ2" s="25">
        <v>41640</v>
      </c>
      <c r="BA2" s="25">
        <v>41671</v>
      </c>
      <c r="BB2" s="25">
        <v>41699</v>
      </c>
      <c r="BC2" s="25">
        <v>41730</v>
      </c>
      <c r="BD2" s="25">
        <v>41760</v>
      </c>
      <c r="BE2" s="43">
        <v>41791</v>
      </c>
      <c r="BF2" s="30" t="s">
        <v>183</v>
      </c>
    </row>
    <row r="3" ht="12.75">
      <c r="C3" s="4"/>
    </row>
    <row r="4" spans="1:3" ht="15.75">
      <c r="A4" s="1">
        <v>1</v>
      </c>
      <c r="C4" s="5" t="s">
        <v>2</v>
      </c>
    </row>
    <row r="5" spans="3:58" ht="12.75">
      <c r="C5" s="4" t="s">
        <v>3</v>
      </c>
      <c r="AT5" s="26">
        <v>2836.67</v>
      </c>
      <c r="AU5" s="26">
        <v>2836.67</v>
      </c>
      <c r="AV5" s="26">
        <v>2836.67</v>
      </c>
      <c r="AW5" s="26">
        <v>2759.17</v>
      </c>
      <c r="AX5" s="26">
        <v>2759.17</v>
      </c>
      <c r="AY5" s="26">
        <v>2759.17</v>
      </c>
      <c r="AZ5" s="26">
        <v>2759.17</v>
      </c>
      <c r="BA5" s="26">
        <v>2759.17</v>
      </c>
      <c r="BB5" s="26">
        <v>2759.17</v>
      </c>
      <c r="BC5" s="26">
        <v>2759.17</v>
      </c>
      <c r="BD5" s="26">
        <v>2759.17</v>
      </c>
      <c r="BE5" s="44">
        <v>2759.17</v>
      </c>
      <c r="BF5" s="26">
        <f>SUM(AT5:BE5)</f>
        <v>33342.53999999999</v>
      </c>
    </row>
    <row r="6" spans="3:58" ht="12.75">
      <c r="C6" s="4" t="s">
        <v>4</v>
      </c>
      <c r="AT6" s="32">
        <v>250</v>
      </c>
      <c r="BF6" s="26">
        <f>SUM(AT6:BE6)</f>
        <v>250</v>
      </c>
    </row>
    <row r="7" spans="3:58" ht="13.5" thickBot="1">
      <c r="C7" s="4" t="s">
        <v>5</v>
      </c>
      <c r="AT7" s="26">
        <f>80416.67+134691.67</f>
        <v>215108.34000000003</v>
      </c>
      <c r="AU7" s="26">
        <f>80416.67+134691.67</f>
        <v>215108.34000000003</v>
      </c>
      <c r="AV7" s="26">
        <f>80416.67+134691.67</f>
        <v>215108.34000000003</v>
      </c>
      <c r="AW7" s="26">
        <f>80416.67+134691.67</f>
        <v>215108.34000000003</v>
      </c>
      <c r="AX7" s="26">
        <f>80416.67+134691.67</f>
        <v>215108.34000000003</v>
      </c>
      <c r="AY7" s="26">
        <f>83333.33+131676.04</f>
        <v>215009.37</v>
      </c>
      <c r="AZ7" s="26">
        <f aca="true" t="shared" si="0" ref="AZ7:BE7">83333.33+131676.04</f>
        <v>215009.37</v>
      </c>
      <c r="BA7" s="26">
        <f t="shared" si="0"/>
        <v>215009.37</v>
      </c>
      <c r="BB7" s="26">
        <f t="shared" si="0"/>
        <v>215009.37</v>
      </c>
      <c r="BC7" s="26">
        <f t="shared" si="0"/>
        <v>215009.37</v>
      </c>
      <c r="BD7" s="26">
        <f t="shared" si="0"/>
        <v>215009.37</v>
      </c>
      <c r="BE7" s="44">
        <f t="shared" si="0"/>
        <v>215009.37</v>
      </c>
      <c r="BF7" s="26">
        <f>SUM(AT7:BE7)</f>
        <v>2580607.290000001</v>
      </c>
    </row>
    <row r="8" spans="3:58" ht="13.5" thickBot="1">
      <c r="C8" s="6" t="s">
        <v>6</v>
      </c>
      <c r="AT8" s="27">
        <f aca="true" t="shared" si="1" ref="AT8:BF8">SUM(AT5:AT7)</f>
        <v>218195.01000000004</v>
      </c>
      <c r="AU8" s="27">
        <f t="shared" si="1"/>
        <v>217945.01000000004</v>
      </c>
      <c r="AV8" s="27">
        <f t="shared" si="1"/>
        <v>217945.01000000004</v>
      </c>
      <c r="AW8" s="27">
        <f t="shared" si="1"/>
        <v>217867.51000000004</v>
      </c>
      <c r="AX8" s="27">
        <f t="shared" si="1"/>
        <v>217867.51000000004</v>
      </c>
      <c r="AY8" s="27">
        <f t="shared" si="1"/>
        <v>217768.54</v>
      </c>
      <c r="AZ8" s="27">
        <f t="shared" si="1"/>
        <v>217768.54</v>
      </c>
      <c r="BA8" s="27">
        <f t="shared" si="1"/>
        <v>217768.54</v>
      </c>
      <c r="BB8" s="27">
        <f t="shared" si="1"/>
        <v>217768.54</v>
      </c>
      <c r="BC8" s="27">
        <f t="shared" si="1"/>
        <v>217768.54</v>
      </c>
      <c r="BD8" s="27">
        <f t="shared" si="1"/>
        <v>217768.54</v>
      </c>
      <c r="BE8" s="45">
        <f t="shared" si="1"/>
        <v>217768.54</v>
      </c>
      <c r="BF8" s="31">
        <f t="shared" si="1"/>
        <v>2614199.830000001</v>
      </c>
    </row>
    <row r="9" ht="12.75">
      <c r="C9" s="4"/>
    </row>
    <row r="10" spans="2:3" ht="21">
      <c r="B10" s="9" t="s">
        <v>109</v>
      </c>
      <c r="C10" s="10" t="s">
        <v>7</v>
      </c>
    </row>
    <row r="11" ht="12.75">
      <c r="C11" s="4" t="str">
        <f>C5</f>
        <v>Debt Reserve</v>
      </c>
    </row>
    <row r="12" ht="12.75">
      <c r="C12" s="4" t="str">
        <f>C6</f>
        <v>Treasury Fee</v>
      </c>
    </row>
    <row r="13" ht="13.5" thickBot="1">
      <c r="C13" s="4" t="str">
        <f>C7</f>
        <v>Intercept</v>
      </c>
    </row>
    <row r="14" ht="13.5" thickBot="1">
      <c r="C14" s="6" t="s">
        <v>8</v>
      </c>
    </row>
    <row r="15" ht="12.75">
      <c r="C15" s="4"/>
    </row>
    <row r="16" spans="2:3" ht="21">
      <c r="B16" s="7" t="s">
        <v>108</v>
      </c>
      <c r="C16" s="8" t="s">
        <v>9</v>
      </c>
    </row>
    <row r="17" ht="12.75">
      <c r="C17" s="4" t="str">
        <f>C11</f>
        <v>Debt Reserve</v>
      </c>
    </row>
    <row r="18" ht="12.75">
      <c r="C18" s="4" t="str">
        <f>C12</f>
        <v>Treasury Fee</v>
      </c>
    </row>
    <row r="19" ht="13.5" thickBot="1">
      <c r="C19" s="4" t="str">
        <f>C13</f>
        <v>Intercept</v>
      </c>
    </row>
    <row r="20" ht="13.5" thickBot="1">
      <c r="C20" s="6" t="s">
        <v>10</v>
      </c>
    </row>
    <row r="21" ht="12.75">
      <c r="C21" s="4"/>
    </row>
    <row r="22" spans="2:3" ht="21">
      <c r="B22" s="7" t="s">
        <v>108</v>
      </c>
      <c r="C22" s="8" t="s">
        <v>58</v>
      </c>
    </row>
    <row r="23" ht="12.75">
      <c r="C23" s="4" t="str">
        <f>C17</f>
        <v>Debt Reserve</v>
      </c>
    </row>
    <row r="24" ht="12.75">
      <c r="C24" s="4" t="str">
        <f>C18</f>
        <v>Treasury Fee</v>
      </c>
    </row>
    <row r="25" ht="13.5" thickBot="1">
      <c r="C25" s="4" t="str">
        <f>C19</f>
        <v>Intercept</v>
      </c>
    </row>
    <row r="26" ht="13.5" thickBot="1">
      <c r="C26" s="6" t="s">
        <v>11</v>
      </c>
    </row>
    <row r="27" ht="12.75">
      <c r="C27" s="4"/>
    </row>
    <row r="28" spans="1:3" ht="21">
      <c r="A28" s="20"/>
      <c r="B28" s="9" t="s">
        <v>109</v>
      </c>
      <c r="C28" s="34" t="s">
        <v>129</v>
      </c>
    </row>
    <row r="29" spans="1:3" ht="12.75">
      <c r="A29" s="20"/>
      <c r="B29" s="20"/>
      <c r="C29" s="4" t="str">
        <f>C23</f>
        <v>Debt Reserve</v>
      </c>
    </row>
    <row r="30" spans="1:3" ht="12.75">
      <c r="A30" s="20"/>
      <c r="B30" s="20"/>
      <c r="C30" s="4" t="str">
        <f>C24</f>
        <v>Treasury Fee</v>
      </c>
    </row>
    <row r="31" spans="1:3" ht="13.5" thickBot="1">
      <c r="A31" s="20"/>
      <c r="B31" s="20"/>
      <c r="C31" s="4" t="str">
        <f>C25</f>
        <v>Intercept</v>
      </c>
    </row>
    <row r="32" spans="1:3" ht="13.5" thickBot="1">
      <c r="A32" s="20"/>
      <c r="B32" s="20"/>
      <c r="C32" s="6" t="s">
        <v>128</v>
      </c>
    </row>
    <row r="33" ht="12.75">
      <c r="C33" s="4"/>
    </row>
    <row r="34" spans="2:3" ht="21">
      <c r="B34" s="9" t="s">
        <v>109</v>
      </c>
      <c r="C34" s="34" t="s">
        <v>12</v>
      </c>
    </row>
    <row r="35" spans="3:58" ht="12.75">
      <c r="C35" s="4" t="str">
        <f>C29</f>
        <v>Debt Reserve</v>
      </c>
      <c r="AT35" s="26">
        <v>488.75</v>
      </c>
      <c r="AU35" s="26">
        <v>488.75</v>
      </c>
      <c r="AV35" s="26">
        <v>488.75</v>
      </c>
      <c r="AW35" s="26">
        <v>488.75</v>
      </c>
      <c r="AX35" s="26">
        <v>488.75</v>
      </c>
      <c r="AY35" s="26">
        <v>474.17</v>
      </c>
      <c r="AZ35" s="26">
        <v>474.17</v>
      </c>
      <c r="BA35" s="26">
        <v>474.17</v>
      </c>
      <c r="BB35" s="26">
        <v>474.17</v>
      </c>
      <c r="BC35" s="26">
        <v>0</v>
      </c>
      <c r="BD35" s="26">
        <v>0</v>
      </c>
      <c r="BE35" s="44">
        <v>0</v>
      </c>
      <c r="BF35" s="26">
        <f>SUM(AT35:BE35)</f>
        <v>4340.43</v>
      </c>
    </row>
    <row r="36" spans="3:58" ht="12.75">
      <c r="C36" s="4" t="str">
        <f>C30</f>
        <v>Treasury Fee</v>
      </c>
      <c r="AT36" s="32">
        <v>250</v>
      </c>
      <c r="BF36" s="26">
        <f>SUM(AT36:BE36)</f>
        <v>250</v>
      </c>
    </row>
    <row r="37" spans="3:58" ht="13.5" thickBot="1">
      <c r="C37" s="4" t="str">
        <f>C31</f>
        <v>Intercept</v>
      </c>
      <c r="AT37" s="26">
        <f>14583.33+23756.67</f>
        <v>38340</v>
      </c>
      <c r="AU37" s="26">
        <f>14583.33+23756.67</f>
        <v>38340</v>
      </c>
      <c r="AV37" s="26">
        <f>14583.33+23756.67</f>
        <v>38340</v>
      </c>
      <c r="AW37" s="26">
        <f>14583.33+23756.67</f>
        <v>38340</v>
      </c>
      <c r="AX37" s="26">
        <f>14583.33+23756.67</f>
        <v>38340</v>
      </c>
      <c r="AY37" s="26">
        <f>15000+23191.56</f>
        <v>38191.56</v>
      </c>
      <c r="AZ37" s="26">
        <f>15000+23191.56</f>
        <v>38191.56</v>
      </c>
      <c r="BA37" s="26">
        <f>15000+23191.56</f>
        <v>38191.56</v>
      </c>
      <c r="BB37" s="26">
        <f>15000+23191.56</f>
        <v>38191.56</v>
      </c>
      <c r="BC37" s="26">
        <v>0</v>
      </c>
      <c r="BD37" s="26">
        <v>0</v>
      </c>
      <c r="BE37" s="44">
        <v>0</v>
      </c>
      <c r="BF37" s="26">
        <f>SUM(AT37:BE37)</f>
        <v>344466.24</v>
      </c>
    </row>
    <row r="38" spans="3:58" ht="13.5" thickBot="1">
      <c r="C38" s="6" t="s">
        <v>13</v>
      </c>
      <c r="AT38" s="27">
        <f aca="true" t="shared" si="2" ref="AT38:BF38">SUM(AT35:AT37)</f>
        <v>39078.75</v>
      </c>
      <c r="AU38" s="27">
        <f t="shared" si="2"/>
        <v>38828.75</v>
      </c>
      <c r="AV38" s="27">
        <f t="shared" si="2"/>
        <v>38828.75</v>
      </c>
      <c r="AW38" s="27">
        <f t="shared" si="2"/>
        <v>38828.75</v>
      </c>
      <c r="AX38" s="27">
        <f t="shared" si="2"/>
        <v>38828.75</v>
      </c>
      <c r="AY38" s="27">
        <f t="shared" si="2"/>
        <v>38665.729999999996</v>
      </c>
      <c r="AZ38" s="27">
        <f t="shared" si="2"/>
        <v>38665.729999999996</v>
      </c>
      <c r="BA38" s="27">
        <f t="shared" si="2"/>
        <v>38665.729999999996</v>
      </c>
      <c r="BB38" s="27">
        <f t="shared" si="2"/>
        <v>38665.729999999996</v>
      </c>
      <c r="BC38" s="27">
        <f t="shared" si="2"/>
        <v>0</v>
      </c>
      <c r="BD38" s="27">
        <f t="shared" si="2"/>
        <v>0</v>
      </c>
      <c r="BE38" s="45">
        <f t="shared" si="2"/>
        <v>0</v>
      </c>
      <c r="BF38" s="31">
        <f t="shared" si="2"/>
        <v>349056.67</v>
      </c>
    </row>
    <row r="39" ht="12.75">
      <c r="C39" s="4"/>
    </row>
    <row r="40" spans="2:3" ht="21">
      <c r="B40" s="9" t="s">
        <v>109</v>
      </c>
      <c r="C40" s="10" t="s">
        <v>14</v>
      </c>
    </row>
    <row r="41" ht="12.75">
      <c r="C41" s="4" t="str">
        <f>C35</f>
        <v>Debt Reserve</v>
      </c>
    </row>
    <row r="42" ht="12.75">
      <c r="C42" s="4" t="str">
        <f>C36</f>
        <v>Treasury Fee</v>
      </c>
    </row>
    <row r="43" ht="13.5" thickBot="1">
      <c r="C43" s="4" t="str">
        <f>C37</f>
        <v>Intercept</v>
      </c>
    </row>
    <row r="44" ht="13.5" thickBot="1">
      <c r="C44" s="6" t="s">
        <v>15</v>
      </c>
    </row>
    <row r="45" ht="12.75">
      <c r="C45" s="4"/>
    </row>
    <row r="46" spans="2:3" ht="21">
      <c r="B46" s="9" t="s">
        <v>109</v>
      </c>
      <c r="C46" s="11" t="s">
        <v>91</v>
      </c>
    </row>
    <row r="47" ht="12.75">
      <c r="C47" s="4" t="str">
        <f>C41</f>
        <v>Debt Reserve</v>
      </c>
    </row>
    <row r="48" ht="12.75">
      <c r="C48" s="4" t="str">
        <f>C42</f>
        <v>Treasury Fee</v>
      </c>
    </row>
    <row r="49" ht="13.5" thickBot="1">
      <c r="C49" s="4" t="str">
        <f>C43</f>
        <v>Intercept</v>
      </c>
    </row>
    <row r="50" ht="13.5" thickBot="1">
      <c r="C50" s="6" t="s">
        <v>16</v>
      </c>
    </row>
    <row r="51" ht="12.75">
      <c r="C51" s="4"/>
    </row>
    <row r="52" spans="2:3" ht="21">
      <c r="B52" s="9" t="s">
        <v>109</v>
      </c>
      <c r="C52" s="10" t="s">
        <v>17</v>
      </c>
    </row>
    <row r="53" ht="12.75">
      <c r="C53" s="4" t="str">
        <f>C47</f>
        <v>Debt Reserve</v>
      </c>
    </row>
    <row r="54" ht="12.75">
      <c r="C54" s="4" t="str">
        <f>C48</f>
        <v>Treasury Fee</v>
      </c>
    </row>
    <row r="55" ht="13.5" thickBot="1">
      <c r="C55" s="4" t="str">
        <f>C49</f>
        <v>Intercept</v>
      </c>
    </row>
    <row r="56" ht="13.5" thickBot="1">
      <c r="C56" s="6" t="s">
        <v>18</v>
      </c>
    </row>
    <row r="57" ht="12.75">
      <c r="C57" s="4"/>
    </row>
    <row r="58" spans="1:3" ht="15.75">
      <c r="A58" s="1">
        <f>+A4+1</f>
        <v>2</v>
      </c>
      <c r="C58" s="5" t="s">
        <v>141</v>
      </c>
    </row>
    <row r="59" spans="3:58" ht="12.75">
      <c r="C59" s="4" t="str">
        <f>C53</f>
        <v>Debt Reserve</v>
      </c>
      <c r="AT59" s="26">
        <v>334.17</v>
      </c>
      <c r="AU59" s="26">
        <v>334.17</v>
      </c>
      <c r="AV59" s="26">
        <v>334.17</v>
      </c>
      <c r="AW59" s="26">
        <v>334.17</v>
      </c>
      <c r="AX59" s="26">
        <v>334.17</v>
      </c>
      <c r="AY59" s="26">
        <v>334.17</v>
      </c>
      <c r="AZ59" s="26">
        <v>334.17</v>
      </c>
      <c r="BA59" s="26">
        <v>334.17</v>
      </c>
      <c r="BB59" s="26">
        <v>334.17</v>
      </c>
      <c r="BC59" s="26">
        <v>325.42</v>
      </c>
      <c r="BD59" s="26">
        <v>325.42</v>
      </c>
      <c r="BE59" s="44">
        <v>325.42</v>
      </c>
      <c r="BF59" s="26">
        <f>SUM(AT59:BE59)</f>
        <v>3983.7900000000004</v>
      </c>
    </row>
    <row r="60" spans="3:58" ht="12.75">
      <c r="C60" s="4" t="str">
        <f>C54</f>
        <v>Treasury Fee</v>
      </c>
      <c r="AT60" s="32">
        <v>250</v>
      </c>
      <c r="BF60" s="26">
        <f>SUM(AT60:BE60)</f>
        <v>250</v>
      </c>
    </row>
    <row r="61" spans="3:58" ht="13.5" thickBot="1">
      <c r="C61" s="4" t="str">
        <f>C55</f>
        <v>Intercept</v>
      </c>
      <c r="AT61" s="26">
        <f>8750+16684.38</f>
        <v>25434.38</v>
      </c>
      <c r="AU61" s="26">
        <f>8750+16684.38</f>
        <v>25434.38</v>
      </c>
      <c r="AV61" s="26">
        <f>8750+16684.38</f>
        <v>25434.38</v>
      </c>
      <c r="AW61" s="26">
        <f>8750+16684.38</f>
        <v>25434.38</v>
      </c>
      <c r="AX61" s="26">
        <f>9166.67+16378.13</f>
        <v>25544.8</v>
      </c>
      <c r="AY61" s="26">
        <f aca="true" t="shared" si="3" ref="AY61:BE61">9166.67+16378.13</f>
        <v>25544.8</v>
      </c>
      <c r="AZ61" s="26">
        <f t="shared" si="3"/>
        <v>25544.8</v>
      </c>
      <c r="BA61" s="26">
        <f t="shared" si="3"/>
        <v>25544.8</v>
      </c>
      <c r="BB61" s="26">
        <f t="shared" si="3"/>
        <v>25544.8</v>
      </c>
      <c r="BC61" s="26">
        <f t="shared" si="3"/>
        <v>25544.8</v>
      </c>
      <c r="BD61" s="26">
        <f t="shared" si="3"/>
        <v>25544.8</v>
      </c>
      <c r="BE61" s="44">
        <f t="shared" si="3"/>
        <v>25544.8</v>
      </c>
      <c r="BF61" s="26">
        <f>SUM(AT61:BE61)</f>
        <v>306095.9199999999</v>
      </c>
    </row>
    <row r="62" spans="3:58" ht="13.5" thickBot="1">
      <c r="C62" s="6" t="s">
        <v>142</v>
      </c>
      <c r="AT62" s="27">
        <f aca="true" t="shared" si="4" ref="AT62:BF62">SUM(AT59:AT61)</f>
        <v>26018.550000000003</v>
      </c>
      <c r="AU62" s="27">
        <f t="shared" si="4"/>
        <v>25768.55</v>
      </c>
      <c r="AV62" s="27">
        <f t="shared" si="4"/>
        <v>25768.55</v>
      </c>
      <c r="AW62" s="27">
        <f t="shared" si="4"/>
        <v>25768.55</v>
      </c>
      <c r="AX62" s="27">
        <f t="shared" si="4"/>
        <v>25878.969999999998</v>
      </c>
      <c r="AY62" s="27">
        <f t="shared" si="4"/>
        <v>25878.969999999998</v>
      </c>
      <c r="AZ62" s="27">
        <f t="shared" si="4"/>
        <v>25878.969999999998</v>
      </c>
      <c r="BA62" s="27">
        <f t="shared" si="4"/>
        <v>25878.969999999998</v>
      </c>
      <c r="BB62" s="27">
        <f t="shared" si="4"/>
        <v>25878.969999999998</v>
      </c>
      <c r="BC62" s="27">
        <f t="shared" si="4"/>
        <v>25870.219999999998</v>
      </c>
      <c r="BD62" s="27">
        <f t="shared" si="4"/>
        <v>25870.219999999998</v>
      </c>
      <c r="BE62" s="45">
        <f t="shared" si="4"/>
        <v>25870.219999999998</v>
      </c>
      <c r="BF62" s="31">
        <f t="shared" si="4"/>
        <v>310329.7099999999</v>
      </c>
    </row>
    <row r="63" ht="12.75">
      <c r="C63" s="4"/>
    </row>
    <row r="64" spans="2:3" ht="21">
      <c r="B64" s="9" t="s">
        <v>109</v>
      </c>
      <c r="C64" s="10" t="s">
        <v>19</v>
      </c>
    </row>
    <row r="65" ht="12.75">
      <c r="C65" s="4" t="str">
        <f>C59</f>
        <v>Debt Reserve</v>
      </c>
    </row>
    <row r="66" ht="12.75">
      <c r="C66" s="4" t="str">
        <f>C60</f>
        <v>Treasury Fee</v>
      </c>
    </row>
    <row r="67" ht="13.5" thickBot="1">
      <c r="C67" s="4" t="str">
        <f>C61</f>
        <v>Intercept</v>
      </c>
    </row>
    <row r="68" ht="13.5" thickBot="1">
      <c r="C68" s="6" t="s">
        <v>20</v>
      </c>
    </row>
    <row r="69" ht="12.75">
      <c r="C69" s="4"/>
    </row>
    <row r="70" spans="1:3" ht="15.75">
      <c r="A70" s="1">
        <f>+A58+1</f>
        <v>3</v>
      </c>
      <c r="C70" s="5" t="s">
        <v>21</v>
      </c>
    </row>
    <row r="71" spans="3:58" ht="12.75">
      <c r="C71" s="4" t="str">
        <f>C65</f>
        <v>Debt Reserve</v>
      </c>
      <c r="AT71" s="26">
        <v>1651.25</v>
      </c>
      <c r="AU71" s="26">
        <v>1651.25</v>
      </c>
      <c r="AV71" s="26">
        <v>1651.25</v>
      </c>
      <c r="AW71" s="26">
        <v>1651.25</v>
      </c>
      <c r="AX71" s="26">
        <v>1651.25</v>
      </c>
      <c r="AY71" s="26">
        <v>1651.25</v>
      </c>
      <c r="AZ71" s="26">
        <v>1651.25</v>
      </c>
      <c r="BA71" s="26">
        <v>1651.25</v>
      </c>
      <c r="BB71" s="26">
        <v>1651.25</v>
      </c>
      <c r="BC71" s="26">
        <v>1608.75</v>
      </c>
      <c r="BD71" s="26">
        <v>1608.75</v>
      </c>
      <c r="BE71" s="44">
        <v>1608.75</v>
      </c>
      <c r="BF71" s="26">
        <f>SUM(AT71:BE71)</f>
        <v>19687.5</v>
      </c>
    </row>
    <row r="72" spans="3:58" ht="12.75">
      <c r="C72" s="4" t="str">
        <f>C66</f>
        <v>Treasury Fee</v>
      </c>
      <c r="AT72" s="32">
        <v>250</v>
      </c>
      <c r="BF72" s="26">
        <f>SUM(AT72:BE72)</f>
        <v>250</v>
      </c>
    </row>
    <row r="73" spans="3:58" ht="13.5" thickBot="1">
      <c r="C73" s="4" t="str">
        <f>C67</f>
        <v>Intercept</v>
      </c>
      <c r="AT73" s="26">
        <f>42500+85693.96</f>
        <v>128193.96</v>
      </c>
      <c r="AU73" s="26">
        <f>44166.67+83951.46</f>
        <v>128118.13</v>
      </c>
      <c r="AV73" s="26">
        <f aca="true" t="shared" si="5" ref="AV73:BE73">44166.67+83951.46</f>
        <v>128118.13</v>
      </c>
      <c r="AW73" s="26">
        <f t="shared" si="5"/>
        <v>128118.13</v>
      </c>
      <c r="AX73" s="26">
        <f t="shared" si="5"/>
        <v>128118.13</v>
      </c>
      <c r="AY73" s="26">
        <f t="shared" si="5"/>
        <v>128118.13</v>
      </c>
      <c r="AZ73" s="26">
        <f t="shared" si="5"/>
        <v>128118.13</v>
      </c>
      <c r="BA73" s="26">
        <f t="shared" si="5"/>
        <v>128118.13</v>
      </c>
      <c r="BB73" s="26">
        <f t="shared" si="5"/>
        <v>128118.13</v>
      </c>
      <c r="BC73" s="26">
        <f t="shared" si="5"/>
        <v>128118.13</v>
      </c>
      <c r="BD73" s="26">
        <f t="shared" si="5"/>
        <v>128118.13</v>
      </c>
      <c r="BE73" s="44">
        <f t="shared" si="5"/>
        <v>128118.13</v>
      </c>
      <c r="BF73" s="26">
        <f>SUM(AT73:BE73)</f>
        <v>1537493.3899999997</v>
      </c>
    </row>
    <row r="74" spans="3:58" ht="13.5" thickBot="1">
      <c r="C74" s="6" t="s">
        <v>22</v>
      </c>
      <c r="AT74" s="27">
        <f aca="true" t="shared" si="6" ref="AT74:BF74">SUM(AT71:AT73)</f>
        <v>130095.21</v>
      </c>
      <c r="AU74" s="27">
        <f t="shared" si="6"/>
        <v>129769.38</v>
      </c>
      <c r="AV74" s="27">
        <f t="shared" si="6"/>
        <v>129769.38</v>
      </c>
      <c r="AW74" s="27">
        <f t="shared" si="6"/>
        <v>129769.38</v>
      </c>
      <c r="AX74" s="27">
        <f t="shared" si="6"/>
        <v>129769.38</v>
      </c>
      <c r="AY74" s="27">
        <f t="shared" si="6"/>
        <v>129769.38</v>
      </c>
      <c r="AZ74" s="27">
        <f t="shared" si="6"/>
        <v>129769.38</v>
      </c>
      <c r="BA74" s="27">
        <f t="shared" si="6"/>
        <v>129769.38</v>
      </c>
      <c r="BB74" s="27">
        <f t="shared" si="6"/>
        <v>129769.38</v>
      </c>
      <c r="BC74" s="27">
        <f t="shared" si="6"/>
        <v>129726.88</v>
      </c>
      <c r="BD74" s="27">
        <f t="shared" si="6"/>
        <v>129726.88</v>
      </c>
      <c r="BE74" s="45">
        <f t="shared" si="6"/>
        <v>129726.88</v>
      </c>
      <c r="BF74" s="31">
        <f t="shared" si="6"/>
        <v>1557430.8899999997</v>
      </c>
    </row>
    <row r="75" ht="12.75">
      <c r="C75" s="4"/>
    </row>
    <row r="76" spans="1:3" ht="15.75">
      <c r="A76" s="1">
        <f>A70+1</f>
        <v>4</v>
      </c>
      <c r="C76" s="5" t="s">
        <v>23</v>
      </c>
    </row>
    <row r="77" spans="3:58" ht="12.75">
      <c r="C77" s="4" t="str">
        <f>C71</f>
        <v>Debt Reserve</v>
      </c>
      <c r="AT77" s="33">
        <v>543.75</v>
      </c>
      <c r="AU77" s="33">
        <v>543.75</v>
      </c>
      <c r="AV77" s="33">
        <v>543.75</v>
      </c>
      <c r="AW77" s="33">
        <v>543.75</v>
      </c>
      <c r="AX77" s="33">
        <v>543.75</v>
      </c>
      <c r="AY77" s="33">
        <v>543.75</v>
      </c>
      <c r="AZ77" s="33">
        <v>543.75</v>
      </c>
      <c r="BA77" s="33">
        <v>543.75</v>
      </c>
      <c r="BB77" s="33">
        <v>543.75</v>
      </c>
      <c r="BC77" s="33">
        <v>543.75</v>
      </c>
      <c r="BD77" s="26">
        <v>524.58</v>
      </c>
      <c r="BE77" s="44">
        <v>524.58</v>
      </c>
      <c r="BF77" s="26">
        <f>SUM(AT77:BE77)</f>
        <v>6486.66</v>
      </c>
    </row>
    <row r="78" spans="3:58" ht="12.75">
      <c r="C78" s="4" t="str">
        <f>C72</f>
        <v>Treasury Fee</v>
      </c>
      <c r="AT78" s="32">
        <v>250</v>
      </c>
      <c r="BF78" s="26">
        <f>SUM(AT78:BE78)</f>
        <v>250</v>
      </c>
    </row>
    <row r="79" spans="3:58" ht="13.5" thickBot="1">
      <c r="C79" s="4" t="str">
        <f>C73</f>
        <v>Intercept</v>
      </c>
      <c r="AT79" s="26">
        <f aca="true" t="shared" si="7" ref="AT79:BD79">19166.67+27544.79</f>
        <v>46711.46</v>
      </c>
      <c r="AU79" s="26">
        <f t="shared" si="7"/>
        <v>46711.46</v>
      </c>
      <c r="AV79" s="26">
        <f t="shared" si="7"/>
        <v>46711.46</v>
      </c>
      <c r="AW79" s="26">
        <f t="shared" si="7"/>
        <v>46711.46</v>
      </c>
      <c r="AX79" s="26">
        <f t="shared" si="7"/>
        <v>46711.46</v>
      </c>
      <c r="AY79" s="26">
        <f t="shared" si="7"/>
        <v>46711.46</v>
      </c>
      <c r="AZ79" s="26">
        <f t="shared" si="7"/>
        <v>46711.46</v>
      </c>
      <c r="BA79" s="26">
        <f t="shared" si="7"/>
        <v>46711.46</v>
      </c>
      <c r="BB79" s="26">
        <f t="shared" si="7"/>
        <v>46711.46</v>
      </c>
      <c r="BC79" s="26">
        <f t="shared" si="7"/>
        <v>46711.46</v>
      </c>
      <c r="BD79" s="26">
        <f t="shared" si="7"/>
        <v>46711.46</v>
      </c>
      <c r="BE79" s="44">
        <f>20000+26586.46</f>
        <v>46586.46</v>
      </c>
      <c r="BF79" s="26">
        <f>SUM(AT79:BE79)</f>
        <v>560412.5200000001</v>
      </c>
    </row>
    <row r="80" spans="3:58" ht="13.5" thickBot="1">
      <c r="C80" s="6" t="s">
        <v>24</v>
      </c>
      <c r="AT80" s="27">
        <f aca="true" t="shared" si="8" ref="AT80:BF80">SUM(AT77:AT79)</f>
        <v>47505.21</v>
      </c>
      <c r="AU80" s="27">
        <f t="shared" si="8"/>
        <v>47255.21</v>
      </c>
      <c r="AV80" s="27">
        <f t="shared" si="8"/>
        <v>47255.21</v>
      </c>
      <c r="AW80" s="27">
        <f t="shared" si="8"/>
        <v>47255.21</v>
      </c>
      <c r="AX80" s="27">
        <f t="shared" si="8"/>
        <v>47255.21</v>
      </c>
      <c r="AY80" s="27">
        <f t="shared" si="8"/>
        <v>47255.21</v>
      </c>
      <c r="AZ80" s="27">
        <f t="shared" si="8"/>
        <v>47255.21</v>
      </c>
      <c r="BA80" s="27">
        <f t="shared" si="8"/>
        <v>47255.21</v>
      </c>
      <c r="BB80" s="27">
        <f t="shared" si="8"/>
        <v>47255.21</v>
      </c>
      <c r="BC80" s="27">
        <f t="shared" si="8"/>
        <v>47255.21</v>
      </c>
      <c r="BD80" s="27">
        <f t="shared" si="8"/>
        <v>47236.04</v>
      </c>
      <c r="BE80" s="45">
        <f t="shared" si="8"/>
        <v>47111.04</v>
      </c>
      <c r="BF80" s="31">
        <f t="shared" si="8"/>
        <v>567149.1800000002</v>
      </c>
    </row>
    <row r="81" ht="12.75">
      <c r="C81" s="12"/>
    </row>
    <row r="82" spans="1:3" ht="15.75">
      <c r="A82" s="1">
        <f>A76+1</f>
        <v>5</v>
      </c>
      <c r="C82" s="5" t="s">
        <v>25</v>
      </c>
    </row>
    <row r="83" spans="3:58" ht="12.75">
      <c r="C83" s="4" t="str">
        <f>C77</f>
        <v>Debt Reserve</v>
      </c>
      <c r="AT83" s="26">
        <v>1549.17</v>
      </c>
      <c r="AU83" s="26">
        <v>1549.17</v>
      </c>
      <c r="AV83" s="26">
        <v>1549.17</v>
      </c>
      <c r="AW83" s="26">
        <v>1549.17</v>
      </c>
      <c r="AX83" s="26">
        <v>1549.17</v>
      </c>
      <c r="AY83" s="26">
        <v>1549.17</v>
      </c>
      <c r="AZ83" s="26">
        <v>1549.17</v>
      </c>
      <c r="BA83" s="26">
        <v>1549.17</v>
      </c>
      <c r="BB83" s="26">
        <v>1549.17</v>
      </c>
      <c r="BC83" s="26">
        <v>1549.17</v>
      </c>
      <c r="BD83" s="26">
        <v>1512.92</v>
      </c>
      <c r="BE83" s="44">
        <v>1512.92</v>
      </c>
      <c r="BF83" s="26">
        <f>SUM(AT83:BE83)</f>
        <v>18517.54</v>
      </c>
    </row>
    <row r="84" spans="3:58" ht="12.75">
      <c r="C84" s="4" t="str">
        <f>C78</f>
        <v>Treasury Fee</v>
      </c>
      <c r="AT84" s="32">
        <v>250</v>
      </c>
      <c r="BF84" s="26">
        <f>SUM(AT84:BE84)</f>
        <v>250</v>
      </c>
    </row>
    <row r="85" spans="3:58" ht="13.5" thickBot="1">
      <c r="C85" s="4" t="str">
        <f>C79</f>
        <v>Intercept</v>
      </c>
      <c r="AT85" s="32">
        <f aca="true" t="shared" si="9" ref="AT85:BC85">36250+82753.54</f>
        <v>119003.54</v>
      </c>
      <c r="AU85" s="32">
        <f t="shared" si="9"/>
        <v>119003.54</v>
      </c>
      <c r="AV85" s="32">
        <f t="shared" si="9"/>
        <v>119003.54</v>
      </c>
      <c r="AW85" s="32">
        <f t="shared" si="9"/>
        <v>119003.54</v>
      </c>
      <c r="AX85" s="32">
        <f t="shared" si="9"/>
        <v>119003.54</v>
      </c>
      <c r="AY85" s="32">
        <f t="shared" si="9"/>
        <v>119003.54</v>
      </c>
      <c r="AZ85" s="32">
        <f t="shared" si="9"/>
        <v>119003.54</v>
      </c>
      <c r="BA85" s="32">
        <f t="shared" si="9"/>
        <v>119003.54</v>
      </c>
      <c r="BB85" s="32">
        <f t="shared" si="9"/>
        <v>119003.54</v>
      </c>
      <c r="BC85" s="32">
        <f t="shared" si="9"/>
        <v>119003.54</v>
      </c>
      <c r="BD85" s="26">
        <f>37916.67+81104.17</f>
        <v>119020.84</v>
      </c>
      <c r="BE85" s="44">
        <f>37916.67+81104.17</f>
        <v>119020.84</v>
      </c>
      <c r="BF85" s="26">
        <f>SUM(AT85:BE85)</f>
        <v>1428077.0800000003</v>
      </c>
    </row>
    <row r="86" spans="3:58" ht="13.5" thickBot="1">
      <c r="C86" s="6" t="s">
        <v>26</v>
      </c>
      <c r="AT86" s="27">
        <f aca="true" t="shared" si="10" ref="AT86:BF86">SUM(AT83:AT85)</f>
        <v>120802.70999999999</v>
      </c>
      <c r="AU86" s="27">
        <f t="shared" si="10"/>
        <v>120552.70999999999</v>
      </c>
      <c r="AV86" s="27">
        <f t="shared" si="10"/>
        <v>120552.70999999999</v>
      </c>
      <c r="AW86" s="27">
        <f t="shared" si="10"/>
        <v>120552.70999999999</v>
      </c>
      <c r="AX86" s="27">
        <f t="shared" si="10"/>
        <v>120552.70999999999</v>
      </c>
      <c r="AY86" s="27">
        <f t="shared" si="10"/>
        <v>120552.70999999999</v>
      </c>
      <c r="AZ86" s="27">
        <f t="shared" si="10"/>
        <v>120552.70999999999</v>
      </c>
      <c r="BA86" s="27">
        <f t="shared" si="10"/>
        <v>120552.70999999999</v>
      </c>
      <c r="BB86" s="27">
        <f t="shared" si="10"/>
        <v>120552.70999999999</v>
      </c>
      <c r="BC86" s="27">
        <f t="shared" si="10"/>
        <v>120552.70999999999</v>
      </c>
      <c r="BD86" s="27">
        <f t="shared" si="10"/>
        <v>120533.76</v>
      </c>
      <c r="BE86" s="45">
        <f t="shared" si="10"/>
        <v>120533.76</v>
      </c>
      <c r="BF86" s="31">
        <f t="shared" si="10"/>
        <v>1446844.6200000003</v>
      </c>
    </row>
    <row r="87" ht="12.75">
      <c r="C87" s="12"/>
    </row>
    <row r="88" spans="1:3" ht="15.75">
      <c r="A88" s="1">
        <f>A82+1</f>
        <v>6</v>
      </c>
      <c r="C88" s="5" t="s">
        <v>27</v>
      </c>
    </row>
    <row r="89" spans="3:58" ht="12.75">
      <c r="C89" s="4" t="str">
        <f>C83</f>
        <v>Debt Reserve</v>
      </c>
      <c r="AT89" s="26">
        <v>1398.75</v>
      </c>
      <c r="AU89" s="26">
        <v>1398.75</v>
      </c>
      <c r="AV89" s="26">
        <v>1398.75</v>
      </c>
      <c r="AW89" s="26">
        <v>1398.75</v>
      </c>
      <c r="AX89" s="26">
        <v>1398.75</v>
      </c>
      <c r="AY89" s="26">
        <v>1398.75</v>
      </c>
      <c r="AZ89" s="26">
        <v>1398.75</v>
      </c>
      <c r="BA89" s="26">
        <v>1398.75</v>
      </c>
      <c r="BB89" s="26">
        <v>1398.75</v>
      </c>
      <c r="BC89" s="26">
        <v>1398.75</v>
      </c>
      <c r="BD89" s="26">
        <v>1398.75</v>
      </c>
      <c r="BE89" s="44">
        <v>1356.67</v>
      </c>
      <c r="BF89" s="26">
        <f>SUM(AT89:BE89)</f>
        <v>16742.92</v>
      </c>
    </row>
    <row r="90" spans="3:58" ht="12.75">
      <c r="C90" s="4" t="str">
        <f>C84</f>
        <v>Treasury Fee</v>
      </c>
      <c r="AT90" s="32">
        <v>250</v>
      </c>
      <c r="BF90" s="26">
        <f>SUM(AT90:BE90)</f>
        <v>250</v>
      </c>
    </row>
    <row r="91" spans="3:58" ht="13.5" thickBot="1">
      <c r="C91" s="4" t="str">
        <f>C85</f>
        <v>Intercept</v>
      </c>
      <c r="AT91" s="26">
        <f aca="true" t="shared" si="11" ref="AT91:BD91">42083.33+70797.92</f>
        <v>112881.25</v>
      </c>
      <c r="AU91" s="26">
        <f t="shared" si="11"/>
        <v>112881.25</v>
      </c>
      <c r="AV91" s="26">
        <f t="shared" si="11"/>
        <v>112881.25</v>
      </c>
      <c r="AW91" s="26">
        <f t="shared" si="11"/>
        <v>112881.25</v>
      </c>
      <c r="AX91" s="26">
        <f t="shared" si="11"/>
        <v>112881.25</v>
      </c>
      <c r="AY91" s="26">
        <f t="shared" si="11"/>
        <v>112881.25</v>
      </c>
      <c r="AZ91" s="26">
        <f t="shared" si="11"/>
        <v>112881.25</v>
      </c>
      <c r="BA91" s="26">
        <f t="shared" si="11"/>
        <v>112881.25</v>
      </c>
      <c r="BB91" s="26">
        <f t="shared" si="11"/>
        <v>112881.25</v>
      </c>
      <c r="BC91" s="26">
        <f t="shared" si="11"/>
        <v>112881.25</v>
      </c>
      <c r="BD91" s="26">
        <f t="shared" si="11"/>
        <v>112881.25</v>
      </c>
      <c r="BE91" s="44">
        <f>43750+69219.79</f>
        <v>112969.79</v>
      </c>
      <c r="BF91" s="26">
        <f>SUM(AT91:BE91)</f>
        <v>1354663.54</v>
      </c>
    </row>
    <row r="92" spans="3:58" ht="13.5" thickBot="1">
      <c r="C92" s="6" t="s">
        <v>28</v>
      </c>
      <c r="AT92" s="27">
        <f aca="true" t="shared" si="12" ref="AT92:BF92">SUM(AT89:AT91)</f>
        <v>114530</v>
      </c>
      <c r="AU92" s="27">
        <f t="shared" si="12"/>
        <v>114280</v>
      </c>
      <c r="AV92" s="27">
        <f t="shared" si="12"/>
        <v>114280</v>
      </c>
      <c r="AW92" s="27">
        <f t="shared" si="12"/>
        <v>114280</v>
      </c>
      <c r="AX92" s="27">
        <f t="shared" si="12"/>
        <v>114280</v>
      </c>
      <c r="AY92" s="27">
        <f t="shared" si="12"/>
        <v>114280</v>
      </c>
      <c r="AZ92" s="27">
        <f t="shared" si="12"/>
        <v>114280</v>
      </c>
      <c r="BA92" s="27">
        <f t="shared" si="12"/>
        <v>114280</v>
      </c>
      <c r="BB92" s="27">
        <f t="shared" si="12"/>
        <v>114280</v>
      </c>
      <c r="BC92" s="27">
        <f t="shared" si="12"/>
        <v>114280</v>
      </c>
      <c r="BD92" s="27">
        <f t="shared" si="12"/>
        <v>114280</v>
      </c>
      <c r="BE92" s="45">
        <f t="shared" si="12"/>
        <v>114326.45999999999</v>
      </c>
      <c r="BF92" s="31">
        <f t="shared" si="12"/>
        <v>1371656.46</v>
      </c>
    </row>
    <row r="93" ht="12.75">
      <c r="C93" s="12"/>
    </row>
    <row r="94" spans="2:3" ht="21">
      <c r="B94" s="9" t="s">
        <v>109</v>
      </c>
      <c r="C94" s="10" t="s">
        <v>29</v>
      </c>
    </row>
    <row r="95" ht="12.75">
      <c r="C95" s="4" t="str">
        <f>C89</f>
        <v>Debt Reserve</v>
      </c>
    </row>
    <row r="96" ht="12.75">
      <c r="C96" s="4" t="str">
        <f>C90</f>
        <v>Treasury Fee</v>
      </c>
    </row>
    <row r="97" ht="13.5" thickBot="1">
      <c r="C97" s="4" t="str">
        <f>C91</f>
        <v>Intercept</v>
      </c>
    </row>
    <row r="98" ht="13.5" thickBot="1">
      <c r="C98" s="6" t="s">
        <v>30</v>
      </c>
    </row>
    <row r="99" ht="12.75">
      <c r="C99" s="12"/>
    </row>
    <row r="100" spans="2:3" ht="21">
      <c r="B100" s="9" t="s">
        <v>109</v>
      </c>
      <c r="C100" s="10" t="s">
        <v>31</v>
      </c>
    </row>
    <row r="101" ht="12.75">
      <c r="C101" s="4" t="str">
        <f>C95</f>
        <v>Debt Reserve</v>
      </c>
    </row>
    <row r="102" ht="12.75">
      <c r="C102" s="4" t="str">
        <f>C96</f>
        <v>Treasury Fee</v>
      </c>
    </row>
    <row r="103" ht="13.5" thickBot="1">
      <c r="C103" s="4" t="str">
        <f>C97</f>
        <v>Intercept</v>
      </c>
    </row>
    <row r="104" ht="13.5" thickBot="1">
      <c r="C104" s="6" t="s">
        <v>32</v>
      </c>
    </row>
    <row r="105" ht="12.75">
      <c r="C105" s="12"/>
    </row>
    <row r="106" spans="2:3" ht="21">
      <c r="B106" s="9" t="s">
        <v>109</v>
      </c>
      <c r="C106" s="34" t="s">
        <v>33</v>
      </c>
    </row>
    <row r="107" ht="12.75">
      <c r="C107" s="4" t="str">
        <f>C89</f>
        <v>Debt Reserve</v>
      </c>
    </row>
    <row r="108" ht="12.75">
      <c r="C108" s="4" t="str">
        <f>C90</f>
        <v>Treasury Fee</v>
      </c>
    </row>
    <row r="109" ht="13.5" thickBot="1">
      <c r="C109" s="4" t="str">
        <f>C91</f>
        <v>Intercept</v>
      </c>
    </row>
    <row r="110" ht="13.5" thickBot="1">
      <c r="C110" s="6" t="s">
        <v>34</v>
      </c>
    </row>
    <row r="111" ht="12.75">
      <c r="C111" s="12"/>
    </row>
    <row r="112" spans="1:3" ht="15.75">
      <c r="A112" s="1">
        <f>A88+1</f>
        <v>7</v>
      </c>
      <c r="C112" s="5" t="s">
        <v>35</v>
      </c>
    </row>
    <row r="113" spans="3:58" ht="12.75">
      <c r="C113" s="4" t="str">
        <f>C95</f>
        <v>Debt Reserve</v>
      </c>
      <c r="AT113" s="26">
        <v>560.42</v>
      </c>
      <c r="AU113" s="26">
        <v>560.42</v>
      </c>
      <c r="AV113" s="26">
        <v>560.42</v>
      </c>
      <c r="AW113" s="26">
        <v>560.42</v>
      </c>
      <c r="AX113" s="26">
        <v>544.58</v>
      </c>
      <c r="AY113" s="26">
        <v>544.58</v>
      </c>
      <c r="AZ113" s="26">
        <v>544.58</v>
      </c>
      <c r="BA113" s="26">
        <v>544.58</v>
      </c>
      <c r="BB113" s="26">
        <v>544.58</v>
      </c>
      <c r="BC113" s="26">
        <v>544.58</v>
      </c>
      <c r="BD113" s="26">
        <v>544.58</v>
      </c>
      <c r="BE113" s="44">
        <v>544.58</v>
      </c>
      <c r="BF113" s="26">
        <f>SUM(AT113:BE113)</f>
        <v>6598.32</v>
      </c>
    </row>
    <row r="114" spans="3:58" ht="12.75">
      <c r="C114" s="4" t="str">
        <f>C96</f>
        <v>Treasury Fee</v>
      </c>
      <c r="AT114" s="32">
        <v>250</v>
      </c>
      <c r="BF114" s="26">
        <f>SUM(AT114:BE114)</f>
        <v>250</v>
      </c>
    </row>
    <row r="115" spans="3:58" ht="13.5" thickBot="1">
      <c r="C115" s="4" t="str">
        <f>C97</f>
        <v>Intercept</v>
      </c>
      <c r="AT115" s="26">
        <f aca="true" t="shared" si="13" ref="AT115:BB115">16250+24901.36</f>
        <v>41151.36</v>
      </c>
      <c r="AU115" s="26">
        <f t="shared" si="13"/>
        <v>41151.36</v>
      </c>
      <c r="AV115" s="26">
        <f t="shared" si="13"/>
        <v>41151.36</v>
      </c>
      <c r="AW115" s="26">
        <f t="shared" si="13"/>
        <v>41151.36</v>
      </c>
      <c r="AX115" s="26">
        <f t="shared" si="13"/>
        <v>41151.36</v>
      </c>
      <c r="AY115" s="26">
        <f t="shared" si="13"/>
        <v>41151.36</v>
      </c>
      <c r="AZ115" s="26">
        <f t="shared" si="13"/>
        <v>41151.36</v>
      </c>
      <c r="BA115" s="26">
        <f t="shared" si="13"/>
        <v>41151.36</v>
      </c>
      <c r="BB115" s="26">
        <f t="shared" si="13"/>
        <v>41151.36</v>
      </c>
      <c r="BC115" s="26">
        <f>17083.33+24332.61</f>
        <v>41415.94</v>
      </c>
      <c r="BD115" s="26">
        <f>17083.33+24332.61</f>
        <v>41415.94</v>
      </c>
      <c r="BE115" s="44">
        <f>17083.33+24332.61</f>
        <v>41415.94</v>
      </c>
      <c r="BF115" s="26">
        <f>SUM(AT115:BE115)</f>
        <v>494610.05999999994</v>
      </c>
    </row>
    <row r="116" spans="3:58" ht="13.5" thickBot="1">
      <c r="C116" s="6" t="s">
        <v>36</v>
      </c>
      <c r="AT116" s="27">
        <f aca="true" t="shared" si="14" ref="AT116:BF116">SUM(AT113:AT115)</f>
        <v>41961.78</v>
      </c>
      <c r="AU116" s="27">
        <f t="shared" si="14"/>
        <v>41711.78</v>
      </c>
      <c r="AV116" s="27">
        <f t="shared" si="14"/>
        <v>41711.78</v>
      </c>
      <c r="AW116" s="27">
        <f t="shared" si="14"/>
        <v>41711.78</v>
      </c>
      <c r="AX116" s="27">
        <f t="shared" si="14"/>
        <v>41695.94</v>
      </c>
      <c r="AY116" s="27">
        <f t="shared" si="14"/>
        <v>41695.94</v>
      </c>
      <c r="AZ116" s="27">
        <f t="shared" si="14"/>
        <v>41695.94</v>
      </c>
      <c r="BA116" s="27">
        <f t="shared" si="14"/>
        <v>41695.94</v>
      </c>
      <c r="BB116" s="27">
        <f t="shared" si="14"/>
        <v>41695.94</v>
      </c>
      <c r="BC116" s="27">
        <f t="shared" si="14"/>
        <v>41960.520000000004</v>
      </c>
      <c r="BD116" s="27">
        <f t="shared" si="14"/>
        <v>41960.520000000004</v>
      </c>
      <c r="BE116" s="45">
        <f t="shared" si="14"/>
        <v>41960.520000000004</v>
      </c>
      <c r="BF116" s="31">
        <f t="shared" si="14"/>
        <v>501458.37999999995</v>
      </c>
    </row>
    <row r="117" ht="12.75">
      <c r="C117" s="12"/>
    </row>
    <row r="118" spans="1:3" ht="15.75">
      <c r="A118" s="1">
        <f>A112+1</f>
        <v>8</v>
      </c>
      <c r="C118" s="5" t="s">
        <v>161</v>
      </c>
    </row>
    <row r="119" spans="3:58" ht="12.75">
      <c r="C119" s="4" t="str">
        <f>C101</f>
        <v>Debt Reserve</v>
      </c>
      <c r="AT119" s="26">
        <v>0</v>
      </c>
      <c r="AU119" s="26">
        <v>0</v>
      </c>
      <c r="AV119" s="26">
        <v>0</v>
      </c>
      <c r="AW119" s="26">
        <v>0</v>
      </c>
      <c r="AX119" s="26">
        <v>0</v>
      </c>
      <c r="AY119" s="26">
        <v>0</v>
      </c>
      <c r="AZ119" s="26">
        <v>0</v>
      </c>
      <c r="BA119" s="26">
        <v>0</v>
      </c>
      <c r="BB119" s="26">
        <v>0</v>
      </c>
      <c r="BC119" s="26">
        <v>0</v>
      </c>
      <c r="BD119" s="26">
        <v>0</v>
      </c>
      <c r="BE119" s="44">
        <v>0</v>
      </c>
      <c r="BF119" s="26">
        <f>SUM(AT119:BE119)</f>
        <v>0</v>
      </c>
    </row>
    <row r="120" spans="3:58" ht="12.75">
      <c r="C120" s="4" t="str">
        <f>C102</f>
        <v>Treasury Fee</v>
      </c>
      <c r="AT120" s="32">
        <v>250</v>
      </c>
      <c r="BF120" s="26">
        <f>SUM(AT120:BE120)</f>
        <v>250</v>
      </c>
    </row>
    <row r="121" spans="3:58" ht="13.5" thickBot="1">
      <c r="C121" s="4" t="str">
        <f>C103</f>
        <v>Intercept</v>
      </c>
      <c r="AT121" s="26">
        <f aca="true" t="shared" si="15" ref="AT121:BA121">8333.33+33535.94</f>
        <v>41869.270000000004</v>
      </c>
      <c r="AU121" s="26">
        <f t="shared" si="15"/>
        <v>41869.270000000004</v>
      </c>
      <c r="AV121" s="26">
        <f t="shared" si="15"/>
        <v>41869.270000000004</v>
      </c>
      <c r="AW121" s="26">
        <f t="shared" si="15"/>
        <v>41869.270000000004</v>
      </c>
      <c r="AX121" s="26">
        <f t="shared" si="15"/>
        <v>41869.270000000004</v>
      </c>
      <c r="AY121" s="26">
        <f t="shared" si="15"/>
        <v>41869.270000000004</v>
      </c>
      <c r="AZ121" s="26">
        <f t="shared" si="15"/>
        <v>41869.270000000004</v>
      </c>
      <c r="BA121" s="26">
        <f t="shared" si="15"/>
        <v>41869.270000000004</v>
      </c>
      <c r="BB121" s="26">
        <f>8750+32973.44</f>
        <v>41723.44</v>
      </c>
      <c r="BC121" s="26">
        <f>8750+32973.44</f>
        <v>41723.44</v>
      </c>
      <c r="BD121" s="26">
        <f>8750+32973.44</f>
        <v>41723.44</v>
      </c>
      <c r="BE121" s="44">
        <f>8750+32973.44</f>
        <v>41723.44</v>
      </c>
      <c r="BF121" s="26">
        <f>SUM(AT121:BE121)</f>
        <v>501847.9200000001</v>
      </c>
    </row>
    <row r="122" spans="3:58" ht="13.5" thickBot="1">
      <c r="C122" s="6" t="s">
        <v>37</v>
      </c>
      <c r="AT122" s="27">
        <f aca="true" t="shared" si="16" ref="AT122:BF122">SUM(AT119:AT121)</f>
        <v>42119.270000000004</v>
      </c>
      <c r="AU122" s="27">
        <f t="shared" si="16"/>
        <v>41869.270000000004</v>
      </c>
      <c r="AV122" s="27">
        <f t="shared" si="16"/>
        <v>41869.270000000004</v>
      </c>
      <c r="AW122" s="27">
        <f t="shared" si="16"/>
        <v>41869.270000000004</v>
      </c>
      <c r="AX122" s="27">
        <f t="shared" si="16"/>
        <v>41869.270000000004</v>
      </c>
      <c r="AY122" s="27">
        <f t="shared" si="16"/>
        <v>41869.270000000004</v>
      </c>
      <c r="AZ122" s="27">
        <f t="shared" si="16"/>
        <v>41869.270000000004</v>
      </c>
      <c r="BA122" s="27">
        <f t="shared" si="16"/>
        <v>41869.270000000004</v>
      </c>
      <c r="BB122" s="27">
        <f t="shared" si="16"/>
        <v>41723.44</v>
      </c>
      <c r="BC122" s="27">
        <f t="shared" si="16"/>
        <v>41723.44</v>
      </c>
      <c r="BD122" s="27">
        <f t="shared" si="16"/>
        <v>41723.44</v>
      </c>
      <c r="BE122" s="45">
        <f t="shared" si="16"/>
        <v>41723.44</v>
      </c>
      <c r="BF122" s="31">
        <f t="shared" si="16"/>
        <v>502097.9200000001</v>
      </c>
    </row>
    <row r="123" ht="12.75">
      <c r="C123" s="12"/>
    </row>
    <row r="124" spans="1:3" ht="15.75">
      <c r="A124" s="1">
        <f>A118+1</f>
        <v>9</v>
      </c>
      <c r="C124" s="5" t="s">
        <v>38</v>
      </c>
    </row>
    <row r="125" spans="3:58" ht="12.75">
      <c r="C125" s="4" t="str">
        <f>C107</f>
        <v>Debt Reserve</v>
      </c>
      <c r="AT125" s="26">
        <v>452.5</v>
      </c>
      <c r="AU125" s="26">
        <v>452.5</v>
      </c>
      <c r="AV125" s="26">
        <v>452.5</v>
      </c>
      <c r="AW125" s="26">
        <v>452.5</v>
      </c>
      <c r="AX125" s="26">
        <v>452.5</v>
      </c>
      <c r="AY125" s="26">
        <v>452.5</v>
      </c>
      <c r="AZ125" s="26">
        <v>452.5</v>
      </c>
      <c r="BA125" s="26">
        <v>452.5</v>
      </c>
      <c r="BB125" s="26">
        <v>452.5</v>
      </c>
      <c r="BC125" s="26">
        <v>452.5</v>
      </c>
      <c r="BD125" s="26">
        <v>440.42</v>
      </c>
      <c r="BE125" s="44">
        <v>440.42</v>
      </c>
      <c r="BF125" s="26">
        <f>SUM(AT125:BE125)</f>
        <v>5405.84</v>
      </c>
    </row>
    <row r="126" spans="3:58" ht="12.75">
      <c r="C126" s="4" t="str">
        <f>C108</f>
        <v>Treasury Fee</v>
      </c>
      <c r="AT126" s="32">
        <v>250</v>
      </c>
      <c r="BF126" s="26">
        <f>SUM(AT126:BE126)</f>
        <v>250</v>
      </c>
    </row>
    <row r="127" spans="3:58" ht="13.5" thickBot="1">
      <c r="C127" s="4" t="str">
        <f>C109</f>
        <v>Intercept</v>
      </c>
      <c r="AT127" s="26">
        <f>12083.33+22975.52</f>
        <v>35058.85</v>
      </c>
      <c r="AU127" s="26">
        <f>12083.33+22975.52</f>
        <v>35058.85</v>
      </c>
      <c r="AV127" s="26">
        <f>12083.33+22975.52</f>
        <v>35058.85</v>
      </c>
      <c r="AW127" s="26">
        <f>12083.33+22975.52</f>
        <v>35058.85</v>
      </c>
      <c r="AX127" s="26">
        <f>12083.33+22975.52</f>
        <v>35058.85</v>
      </c>
      <c r="AY127" s="26">
        <f>12500+22552.61</f>
        <v>35052.61</v>
      </c>
      <c r="AZ127" s="26">
        <f aca="true" t="shared" si="17" ref="AZ127:BE127">12500+22552.61</f>
        <v>35052.61</v>
      </c>
      <c r="BA127" s="26">
        <f t="shared" si="17"/>
        <v>35052.61</v>
      </c>
      <c r="BB127" s="26">
        <f t="shared" si="17"/>
        <v>35052.61</v>
      </c>
      <c r="BC127" s="26">
        <f t="shared" si="17"/>
        <v>35052.61</v>
      </c>
      <c r="BD127" s="26">
        <f t="shared" si="17"/>
        <v>35052.61</v>
      </c>
      <c r="BE127" s="44">
        <f t="shared" si="17"/>
        <v>35052.61</v>
      </c>
      <c r="BF127" s="26">
        <f>SUM(AT127:BE127)</f>
        <v>420662.5199999999</v>
      </c>
    </row>
    <row r="128" spans="3:58" ht="13.5" thickBot="1">
      <c r="C128" s="6" t="s">
        <v>39</v>
      </c>
      <c r="AT128" s="27">
        <f aca="true" t="shared" si="18" ref="AT128:BF128">SUM(AT125:AT127)</f>
        <v>35761.35</v>
      </c>
      <c r="AU128" s="27">
        <f t="shared" si="18"/>
        <v>35511.35</v>
      </c>
      <c r="AV128" s="27">
        <f t="shared" si="18"/>
        <v>35511.35</v>
      </c>
      <c r="AW128" s="27">
        <f t="shared" si="18"/>
        <v>35511.35</v>
      </c>
      <c r="AX128" s="27">
        <f t="shared" si="18"/>
        <v>35511.35</v>
      </c>
      <c r="AY128" s="27">
        <f t="shared" si="18"/>
        <v>35505.11</v>
      </c>
      <c r="AZ128" s="27">
        <f t="shared" si="18"/>
        <v>35505.11</v>
      </c>
      <c r="BA128" s="27">
        <f t="shared" si="18"/>
        <v>35505.11</v>
      </c>
      <c r="BB128" s="27">
        <f t="shared" si="18"/>
        <v>35505.11</v>
      </c>
      <c r="BC128" s="27">
        <f t="shared" si="18"/>
        <v>35505.11</v>
      </c>
      <c r="BD128" s="27">
        <f t="shared" si="18"/>
        <v>35493.03</v>
      </c>
      <c r="BE128" s="45">
        <f t="shared" si="18"/>
        <v>35493.03</v>
      </c>
      <c r="BF128" s="31">
        <f t="shared" si="18"/>
        <v>426318.3599999999</v>
      </c>
    </row>
    <row r="129" ht="12.75">
      <c r="C129" s="12"/>
    </row>
    <row r="130" spans="1:3" ht="15.75">
      <c r="A130" s="1">
        <f>A124+1</f>
        <v>10</v>
      </c>
      <c r="C130" s="5" t="s">
        <v>46</v>
      </c>
    </row>
    <row r="131" spans="3:58" ht="12.75">
      <c r="C131" s="4" t="str">
        <f>C113</f>
        <v>Debt Reserve</v>
      </c>
      <c r="AT131" s="26">
        <v>1005.42</v>
      </c>
      <c r="AU131" s="26">
        <v>1005.42</v>
      </c>
      <c r="AV131" s="26">
        <v>1005.42</v>
      </c>
      <c r="AW131" s="26">
        <v>1005.42</v>
      </c>
      <c r="AX131" s="26">
        <v>1005.42</v>
      </c>
      <c r="AY131" s="26">
        <v>1005.42</v>
      </c>
      <c r="AZ131" s="26">
        <v>1005.42</v>
      </c>
      <c r="BA131" s="26">
        <v>1005.42</v>
      </c>
      <c r="BB131" s="26">
        <v>1005.42</v>
      </c>
      <c r="BC131" s="26">
        <v>1005.42</v>
      </c>
      <c r="BD131" s="26">
        <v>1005.42</v>
      </c>
      <c r="BE131" s="44">
        <v>974.17</v>
      </c>
      <c r="BF131" s="26">
        <f>SUM(AT131:BE131)</f>
        <v>12033.789999999999</v>
      </c>
    </row>
    <row r="132" spans="3:58" ht="12.75">
      <c r="C132" s="4" t="str">
        <f>C114</f>
        <v>Treasury Fee</v>
      </c>
      <c r="AT132" s="32">
        <v>250</v>
      </c>
      <c r="BF132" s="26">
        <f>SUM(AT132:BE132)</f>
        <v>250</v>
      </c>
    </row>
    <row r="133" spans="3:58" ht="13.5" thickBot="1">
      <c r="C133" s="4" t="str">
        <f>C115</f>
        <v>Intercept</v>
      </c>
      <c r="AT133" s="26">
        <f>31250+50466.15</f>
        <v>81716.15</v>
      </c>
      <c r="AU133" s="26">
        <f>31250+50466.15</f>
        <v>81716.15</v>
      </c>
      <c r="AV133" s="26">
        <f>32083.33+49450.52</f>
        <v>81533.85</v>
      </c>
      <c r="AW133" s="26">
        <f aca="true" t="shared" si="19" ref="AW133:BE133">32083.33+49450.52</f>
        <v>81533.85</v>
      </c>
      <c r="AX133" s="26">
        <f t="shared" si="19"/>
        <v>81533.85</v>
      </c>
      <c r="AY133" s="26">
        <f t="shared" si="19"/>
        <v>81533.85</v>
      </c>
      <c r="AZ133" s="26">
        <f t="shared" si="19"/>
        <v>81533.85</v>
      </c>
      <c r="BA133" s="26">
        <f t="shared" si="19"/>
        <v>81533.85</v>
      </c>
      <c r="BB133" s="26">
        <f t="shared" si="19"/>
        <v>81533.85</v>
      </c>
      <c r="BC133" s="26">
        <f t="shared" si="19"/>
        <v>81533.85</v>
      </c>
      <c r="BD133" s="26">
        <f t="shared" si="19"/>
        <v>81533.85</v>
      </c>
      <c r="BE133" s="44">
        <f t="shared" si="19"/>
        <v>81533.85</v>
      </c>
      <c r="BF133" s="26">
        <f>SUM(AT133:BE133)</f>
        <v>978770.7999999998</v>
      </c>
    </row>
    <row r="134" spans="3:58" ht="13.5" thickBot="1">
      <c r="C134" s="6" t="s">
        <v>40</v>
      </c>
      <c r="AT134" s="27">
        <f aca="true" t="shared" si="20" ref="AT134:BF134">SUM(AT131:AT133)</f>
        <v>82971.56999999999</v>
      </c>
      <c r="AU134" s="27">
        <f t="shared" si="20"/>
        <v>82721.56999999999</v>
      </c>
      <c r="AV134" s="27">
        <f t="shared" si="20"/>
        <v>82539.27</v>
      </c>
      <c r="AW134" s="27">
        <f t="shared" si="20"/>
        <v>82539.27</v>
      </c>
      <c r="AX134" s="27">
        <f t="shared" si="20"/>
        <v>82539.27</v>
      </c>
      <c r="AY134" s="27">
        <f t="shared" si="20"/>
        <v>82539.27</v>
      </c>
      <c r="AZ134" s="27">
        <f t="shared" si="20"/>
        <v>82539.27</v>
      </c>
      <c r="BA134" s="27">
        <f t="shared" si="20"/>
        <v>82539.27</v>
      </c>
      <c r="BB134" s="27">
        <f t="shared" si="20"/>
        <v>82539.27</v>
      </c>
      <c r="BC134" s="27">
        <f t="shared" si="20"/>
        <v>82539.27</v>
      </c>
      <c r="BD134" s="27">
        <f t="shared" si="20"/>
        <v>82539.27</v>
      </c>
      <c r="BE134" s="45">
        <f t="shared" si="20"/>
        <v>82508.02</v>
      </c>
      <c r="BF134" s="31">
        <f t="shared" si="20"/>
        <v>991054.5899999999</v>
      </c>
    </row>
    <row r="135" ht="12.75">
      <c r="C135" s="12"/>
    </row>
    <row r="136" spans="2:3" ht="21">
      <c r="B136" s="9" t="s">
        <v>109</v>
      </c>
      <c r="C136" s="10" t="s">
        <v>47</v>
      </c>
    </row>
    <row r="137" ht="12.75">
      <c r="C137" s="4" t="str">
        <f>C119</f>
        <v>Debt Reserve</v>
      </c>
    </row>
    <row r="138" ht="12.75">
      <c r="C138" s="4" t="str">
        <f>C120</f>
        <v>Treasury Fee</v>
      </c>
    </row>
    <row r="139" ht="13.5" thickBot="1">
      <c r="C139" s="4" t="str">
        <f>C121</f>
        <v>Intercept</v>
      </c>
    </row>
    <row r="140" ht="13.5" thickBot="1">
      <c r="C140" s="6" t="s">
        <v>48</v>
      </c>
    </row>
    <row r="141" ht="12.75">
      <c r="C141" s="12"/>
    </row>
    <row r="142" spans="1:3" ht="15.75">
      <c r="A142" s="1">
        <f>A130+1</f>
        <v>11</v>
      </c>
      <c r="C142" s="5" t="s">
        <v>49</v>
      </c>
    </row>
    <row r="143" spans="3:58" ht="12.75">
      <c r="C143" s="4" t="str">
        <f>C125</f>
        <v>Debt Reserve</v>
      </c>
      <c r="AT143" s="26">
        <v>556.25</v>
      </c>
      <c r="AU143" s="26">
        <v>556.25</v>
      </c>
      <c r="AV143" s="26">
        <v>541.67</v>
      </c>
      <c r="AW143" s="26">
        <v>541.67</v>
      </c>
      <c r="AX143" s="26">
        <v>541.67</v>
      </c>
      <c r="AY143" s="26">
        <v>541.67</v>
      </c>
      <c r="AZ143" s="26">
        <v>541.67</v>
      </c>
      <c r="BA143" s="26">
        <v>541.67</v>
      </c>
      <c r="BB143" s="26">
        <v>541.67</v>
      </c>
      <c r="BC143" s="26">
        <v>541.67</v>
      </c>
      <c r="BD143" s="26">
        <v>541.67</v>
      </c>
      <c r="BE143" s="44">
        <v>541.67</v>
      </c>
      <c r="BF143" s="26">
        <f>SUM(AT143:BE143)</f>
        <v>6529.200000000001</v>
      </c>
    </row>
    <row r="144" spans="3:58" ht="12.75">
      <c r="C144" s="4" t="str">
        <f>C126</f>
        <v>Treasury Fee</v>
      </c>
      <c r="AT144" s="32">
        <v>250</v>
      </c>
      <c r="BF144" s="26">
        <f>SUM(AT144:BE144)</f>
        <v>250</v>
      </c>
    </row>
    <row r="145" spans="3:58" ht="13.5" thickBot="1">
      <c r="C145" s="4" t="str">
        <f>C127</f>
        <v>Intercept</v>
      </c>
      <c r="AT145" s="26">
        <f>15000+28968.13</f>
        <v>43968.130000000005</v>
      </c>
      <c r="AU145" s="26">
        <f>15000+28968.13</f>
        <v>43968.130000000005</v>
      </c>
      <c r="AV145" s="26">
        <f>15000+28968.13</f>
        <v>43968.130000000005</v>
      </c>
      <c r="AW145" s="26">
        <f>15000+28968.13</f>
        <v>43968.130000000005</v>
      </c>
      <c r="AX145" s="26">
        <f>15000+28968.13</f>
        <v>43968.130000000005</v>
      </c>
      <c r="AY145" s="26">
        <f>15416.67+28420.63</f>
        <v>43837.3</v>
      </c>
      <c r="AZ145" s="26">
        <f aca="true" t="shared" si="21" ref="AZ145:BE145">15416.67+28420.63</f>
        <v>43837.3</v>
      </c>
      <c r="BA145" s="26">
        <f t="shared" si="21"/>
        <v>43837.3</v>
      </c>
      <c r="BB145" s="26">
        <f t="shared" si="21"/>
        <v>43837.3</v>
      </c>
      <c r="BC145" s="26">
        <f t="shared" si="21"/>
        <v>43837.3</v>
      </c>
      <c r="BD145" s="26">
        <f t="shared" si="21"/>
        <v>43837.3</v>
      </c>
      <c r="BE145" s="44">
        <f t="shared" si="21"/>
        <v>43837.3</v>
      </c>
      <c r="BF145" s="26">
        <f>SUM(AT145:BE145)</f>
        <v>526701.75</v>
      </c>
    </row>
    <row r="146" spans="3:58" ht="13.5" thickBot="1">
      <c r="C146" s="6" t="s">
        <v>50</v>
      </c>
      <c r="AT146" s="27">
        <f aca="true" t="shared" si="22" ref="AT146:BF146">SUM(AT143:AT145)</f>
        <v>44774.380000000005</v>
      </c>
      <c r="AU146" s="27">
        <f t="shared" si="22"/>
        <v>44524.380000000005</v>
      </c>
      <c r="AV146" s="27">
        <f t="shared" si="22"/>
        <v>44509.8</v>
      </c>
      <c r="AW146" s="27">
        <f t="shared" si="22"/>
        <v>44509.8</v>
      </c>
      <c r="AX146" s="27">
        <f t="shared" si="22"/>
        <v>44509.8</v>
      </c>
      <c r="AY146" s="27">
        <f t="shared" si="22"/>
        <v>44378.97</v>
      </c>
      <c r="AZ146" s="27">
        <f t="shared" si="22"/>
        <v>44378.97</v>
      </c>
      <c r="BA146" s="27">
        <f t="shared" si="22"/>
        <v>44378.97</v>
      </c>
      <c r="BB146" s="27">
        <f t="shared" si="22"/>
        <v>44378.97</v>
      </c>
      <c r="BC146" s="27">
        <f t="shared" si="22"/>
        <v>44378.97</v>
      </c>
      <c r="BD146" s="27">
        <f t="shared" si="22"/>
        <v>44378.97</v>
      </c>
      <c r="BE146" s="45">
        <f t="shared" si="22"/>
        <v>44378.97</v>
      </c>
      <c r="BF146" s="31">
        <f t="shared" si="22"/>
        <v>533480.95</v>
      </c>
    </row>
    <row r="147" ht="12.75">
      <c r="C147" s="12"/>
    </row>
    <row r="148" spans="1:3" ht="15.75">
      <c r="A148" s="1">
        <f>A142+1</f>
        <v>12</v>
      </c>
      <c r="C148" s="5" t="s">
        <v>51</v>
      </c>
    </row>
    <row r="149" spans="3:58" ht="12.75">
      <c r="C149" s="4" t="str">
        <f>C131</f>
        <v>Debt Reserve</v>
      </c>
      <c r="AT149" s="26">
        <v>595</v>
      </c>
      <c r="AU149" s="26">
        <v>595</v>
      </c>
      <c r="AV149" s="26">
        <v>580.83</v>
      </c>
      <c r="AW149" s="26">
        <v>580.83</v>
      </c>
      <c r="AX149" s="26">
        <v>580.83</v>
      </c>
      <c r="AY149" s="26">
        <v>580.83</v>
      </c>
      <c r="AZ149" s="26">
        <v>580.83</v>
      </c>
      <c r="BA149" s="26">
        <v>580.83</v>
      </c>
      <c r="BB149" s="26">
        <v>580.83</v>
      </c>
      <c r="BC149" s="26">
        <v>580.83</v>
      </c>
      <c r="BD149" s="26">
        <v>580.83</v>
      </c>
      <c r="BE149" s="44">
        <v>580.83</v>
      </c>
      <c r="BF149" s="26">
        <f>SUM(AT149:BE149)</f>
        <v>6998.299999999999</v>
      </c>
    </row>
    <row r="150" spans="3:58" ht="12.75">
      <c r="C150" s="4" t="str">
        <f>C132</f>
        <v>Treasury Fee</v>
      </c>
      <c r="AT150" s="32">
        <v>250</v>
      </c>
      <c r="BF150" s="26">
        <f>SUM(AT150:BE150)</f>
        <v>250</v>
      </c>
    </row>
    <row r="151" spans="3:58" ht="13.5" thickBot="1">
      <c r="C151" s="4" t="str">
        <f>C133</f>
        <v>Intercept</v>
      </c>
      <c r="AT151" s="26">
        <f>14166.67+31923.54</f>
        <v>46090.21</v>
      </c>
      <c r="AU151" s="26">
        <f>14583.33+31413.54</f>
        <v>45996.87</v>
      </c>
      <c r="AV151" s="26">
        <f aca="true" t="shared" si="23" ref="AV151:BE151">14583.33+31413.54</f>
        <v>45996.87</v>
      </c>
      <c r="AW151" s="26">
        <f t="shared" si="23"/>
        <v>45996.87</v>
      </c>
      <c r="AX151" s="26">
        <f t="shared" si="23"/>
        <v>45996.87</v>
      </c>
      <c r="AY151" s="26">
        <f t="shared" si="23"/>
        <v>45996.87</v>
      </c>
      <c r="AZ151" s="26">
        <f t="shared" si="23"/>
        <v>45996.87</v>
      </c>
      <c r="BA151" s="26">
        <f t="shared" si="23"/>
        <v>45996.87</v>
      </c>
      <c r="BB151" s="26">
        <f t="shared" si="23"/>
        <v>45996.87</v>
      </c>
      <c r="BC151" s="26">
        <f t="shared" si="23"/>
        <v>45996.87</v>
      </c>
      <c r="BD151" s="26">
        <f t="shared" si="23"/>
        <v>45996.87</v>
      </c>
      <c r="BE151" s="44">
        <f t="shared" si="23"/>
        <v>45996.87</v>
      </c>
      <c r="BF151" s="26">
        <f>SUM(AT151:BE151)</f>
        <v>552055.78</v>
      </c>
    </row>
    <row r="152" spans="3:58" ht="13.5" thickBot="1">
      <c r="C152" s="6" t="s">
        <v>52</v>
      </c>
      <c r="AT152" s="27">
        <f aca="true" t="shared" si="24" ref="AT152:BF152">SUM(AT149:AT151)</f>
        <v>46935.21</v>
      </c>
      <c r="AU152" s="27">
        <f t="shared" si="24"/>
        <v>46591.87</v>
      </c>
      <c r="AV152" s="27">
        <f t="shared" si="24"/>
        <v>46577.700000000004</v>
      </c>
      <c r="AW152" s="27">
        <f t="shared" si="24"/>
        <v>46577.700000000004</v>
      </c>
      <c r="AX152" s="27">
        <f t="shared" si="24"/>
        <v>46577.700000000004</v>
      </c>
      <c r="AY152" s="27">
        <f t="shared" si="24"/>
        <v>46577.700000000004</v>
      </c>
      <c r="AZ152" s="27">
        <f t="shared" si="24"/>
        <v>46577.700000000004</v>
      </c>
      <c r="BA152" s="27">
        <f t="shared" si="24"/>
        <v>46577.700000000004</v>
      </c>
      <c r="BB152" s="27">
        <f t="shared" si="24"/>
        <v>46577.700000000004</v>
      </c>
      <c r="BC152" s="27">
        <f t="shared" si="24"/>
        <v>46577.700000000004</v>
      </c>
      <c r="BD152" s="27">
        <f t="shared" si="24"/>
        <v>46577.700000000004</v>
      </c>
      <c r="BE152" s="45">
        <f t="shared" si="24"/>
        <v>46577.700000000004</v>
      </c>
      <c r="BF152" s="31">
        <f t="shared" si="24"/>
        <v>559304.0800000001</v>
      </c>
    </row>
    <row r="153" ht="12.75">
      <c r="C153" s="12"/>
    </row>
    <row r="154" spans="1:3" ht="15.75">
      <c r="A154" s="1">
        <f>A148+1</f>
        <v>13</v>
      </c>
      <c r="C154" s="5" t="s">
        <v>53</v>
      </c>
    </row>
    <row r="155" spans="3:58" ht="12.75">
      <c r="C155" s="4" t="str">
        <f>C137</f>
        <v>Debt Reserve</v>
      </c>
      <c r="AT155" s="26">
        <v>0</v>
      </c>
      <c r="AU155" s="26">
        <v>0</v>
      </c>
      <c r="AV155" s="26">
        <v>0</v>
      </c>
      <c r="AW155" s="26">
        <v>0</v>
      </c>
      <c r="AX155" s="26">
        <v>0</v>
      </c>
      <c r="AY155" s="26">
        <v>0</v>
      </c>
      <c r="AZ155" s="26">
        <v>0</v>
      </c>
      <c r="BA155" s="26">
        <v>0</v>
      </c>
      <c r="BB155" s="26">
        <v>0</v>
      </c>
      <c r="BC155" s="26">
        <v>0</v>
      </c>
      <c r="BD155" s="26">
        <v>0</v>
      </c>
      <c r="BE155" s="44">
        <v>0</v>
      </c>
      <c r="BF155" s="26">
        <f>SUM(AT155:BE155)</f>
        <v>0</v>
      </c>
    </row>
    <row r="156" spans="3:58" ht="12.75">
      <c r="C156" s="4" t="str">
        <f>C138</f>
        <v>Treasury Fee</v>
      </c>
      <c r="AT156" s="32">
        <v>250</v>
      </c>
      <c r="BF156" s="26">
        <f>SUM(AT156:BE156)</f>
        <v>250</v>
      </c>
    </row>
    <row r="157" spans="3:58" ht="13.5" thickBot="1">
      <c r="C157" s="4" t="str">
        <f>C139</f>
        <v>Intercept</v>
      </c>
      <c r="AT157" s="26">
        <f aca="true" t="shared" si="25" ref="AT157:BC157">7916.67+29114.58</f>
        <v>37031.25</v>
      </c>
      <c r="AU157" s="26">
        <f t="shared" si="25"/>
        <v>37031.25</v>
      </c>
      <c r="AV157" s="26">
        <f t="shared" si="25"/>
        <v>37031.25</v>
      </c>
      <c r="AW157" s="26">
        <f t="shared" si="25"/>
        <v>37031.25</v>
      </c>
      <c r="AX157" s="26">
        <f t="shared" si="25"/>
        <v>37031.25</v>
      </c>
      <c r="AY157" s="26">
        <f t="shared" si="25"/>
        <v>37031.25</v>
      </c>
      <c r="AZ157" s="26">
        <f t="shared" si="25"/>
        <v>37031.25</v>
      </c>
      <c r="BA157" s="26">
        <f t="shared" si="25"/>
        <v>37031.25</v>
      </c>
      <c r="BB157" s="26">
        <f t="shared" si="25"/>
        <v>37031.25</v>
      </c>
      <c r="BC157" s="26">
        <f t="shared" si="25"/>
        <v>37031.25</v>
      </c>
      <c r="BD157" s="26">
        <f>8750+28600</f>
        <v>37350</v>
      </c>
      <c r="BE157" s="44">
        <f>8750+28600</f>
        <v>37350</v>
      </c>
      <c r="BF157" s="26">
        <f>SUM(AT157:BE157)</f>
        <v>445012.5</v>
      </c>
    </row>
    <row r="158" spans="3:58" ht="13.5" thickBot="1">
      <c r="C158" s="6" t="s">
        <v>54</v>
      </c>
      <c r="AT158" s="27">
        <f aca="true" t="shared" si="26" ref="AT158:BF158">SUM(AT155:AT157)</f>
        <v>37281.25</v>
      </c>
      <c r="AU158" s="27">
        <f t="shared" si="26"/>
        <v>37031.25</v>
      </c>
      <c r="AV158" s="27">
        <f t="shared" si="26"/>
        <v>37031.25</v>
      </c>
      <c r="AW158" s="27">
        <f t="shared" si="26"/>
        <v>37031.25</v>
      </c>
      <c r="AX158" s="27">
        <f t="shared" si="26"/>
        <v>37031.25</v>
      </c>
      <c r="AY158" s="27">
        <f t="shared" si="26"/>
        <v>37031.25</v>
      </c>
      <c r="AZ158" s="27">
        <f t="shared" si="26"/>
        <v>37031.25</v>
      </c>
      <c r="BA158" s="27">
        <f t="shared" si="26"/>
        <v>37031.25</v>
      </c>
      <c r="BB158" s="27">
        <f t="shared" si="26"/>
        <v>37031.25</v>
      </c>
      <c r="BC158" s="27">
        <f t="shared" si="26"/>
        <v>37031.25</v>
      </c>
      <c r="BD158" s="27">
        <f t="shared" si="26"/>
        <v>37350</v>
      </c>
      <c r="BE158" s="45">
        <f t="shared" si="26"/>
        <v>37350</v>
      </c>
      <c r="BF158" s="31">
        <f t="shared" si="26"/>
        <v>445262.5</v>
      </c>
    </row>
    <row r="159" ht="12.75">
      <c r="C159" s="12"/>
    </row>
    <row r="160" spans="2:3" ht="21">
      <c r="B160" s="9" t="s">
        <v>109</v>
      </c>
      <c r="C160" s="10" t="s">
        <v>55</v>
      </c>
    </row>
    <row r="161" ht="12.75">
      <c r="C161" s="4" t="str">
        <f>C143</f>
        <v>Debt Reserve</v>
      </c>
    </row>
    <row r="162" ht="12.75">
      <c r="C162" s="4" t="str">
        <f>C144</f>
        <v>Treasury Fee</v>
      </c>
    </row>
    <row r="163" ht="13.5" thickBot="1">
      <c r="C163" s="4" t="str">
        <f>C145</f>
        <v>Intercept</v>
      </c>
    </row>
    <row r="164" ht="13.5" thickBot="1">
      <c r="C164" s="6" t="s">
        <v>56</v>
      </c>
    </row>
    <row r="165" ht="12.75">
      <c r="C165" s="12"/>
    </row>
    <row r="166" spans="1:3" ht="21">
      <c r="A166" s="1">
        <f>+A154+1</f>
        <v>14</v>
      </c>
      <c r="B166" s="35" t="s">
        <v>107</v>
      </c>
      <c r="C166" s="36" t="s">
        <v>59</v>
      </c>
    </row>
    <row r="167" spans="3:58" ht="12.75">
      <c r="C167" s="4" t="str">
        <f>C149</f>
        <v>Debt Reserve</v>
      </c>
      <c r="AT167" s="26">
        <v>0</v>
      </c>
      <c r="AU167" s="26">
        <v>0</v>
      </c>
      <c r="AV167" s="26">
        <v>0</v>
      </c>
      <c r="AW167" s="26">
        <v>0</v>
      </c>
      <c r="AX167" s="26">
        <v>0</v>
      </c>
      <c r="AY167" s="26">
        <v>0</v>
      </c>
      <c r="AZ167" s="26">
        <v>0</v>
      </c>
      <c r="BA167" s="26">
        <v>0</v>
      </c>
      <c r="BB167" s="26">
        <v>0</v>
      </c>
      <c r="BC167" s="26">
        <v>0</v>
      </c>
      <c r="BD167" s="26">
        <v>0</v>
      </c>
      <c r="BE167" s="44">
        <v>0</v>
      </c>
      <c r="BF167" s="26">
        <f>SUM(AT167:BE167)</f>
        <v>0</v>
      </c>
    </row>
    <row r="168" spans="3:58" ht="12.75">
      <c r="C168" s="4" t="str">
        <f>C150</f>
        <v>Treasury Fee</v>
      </c>
      <c r="AT168" s="32">
        <v>250</v>
      </c>
      <c r="BF168" s="26">
        <f>SUM(AT168:BE168)</f>
        <v>250</v>
      </c>
    </row>
    <row r="169" spans="3:58" ht="13.5" thickBot="1">
      <c r="C169" s="4" t="str">
        <f>C151</f>
        <v>Intercept</v>
      </c>
      <c r="AT169" s="26">
        <f aca="true" t="shared" si="27" ref="AT169:BB169">8333.33+32462.5</f>
        <v>40795.83</v>
      </c>
      <c r="AU169" s="26">
        <f t="shared" si="27"/>
        <v>40795.83</v>
      </c>
      <c r="AV169" s="26">
        <f t="shared" si="27"/>
        <v>40795.83</v>
      </c>
      <c r="AW169" s="26">
        <f t="shared" si="27"/>
        <v>40795.83</v>
      </c>
      <c r="AX169" s="26">
        <f t="shared" si="27"/>
        <v>40795.83</v>
      </c>
      <c r="AY169" s="26">
        <f t="shared" si="27"/>
        <v>40795.83</v>
      </c>
      <c r="AZ169" s="26">
        <f t="shared" si="27"/>
        <v>40795.83</v>
      </c>
      <c r="BA169" s="26">
        <f t="shared" si="27"/>
        <v>40795.83</v>
      </c>
      <c r="BB169" s="26">
        <f t="shared" si="27"/>
        <v>40795.83</v>
      </c>
      <c r="BC169" s="26">
        <f>8750+31879.17</f>
        <v>40629.17</v>
      </c>
      <c r="BD169" s="26">
        <f>8750+31879.17</f>
        <v>40629.17</v>
      </c>
      <c r="BE169" s="44">
        <f>8750+31879.17</f>
        <v>40629.17</v>
      </c>
      <c r="BF169" s="26">
        <f>SUM(AT169:BE169)</f>
        <v>489049.98000000004</v>
      </c>
    </row>
    <row r="170" spans="3:58" ht="13.5" thickBot="1">
      <c r="C170" s="6" t="s">
        <v>57</v>
      </c>
      <c r="AT170" s="27">
        <f aca="true" t="shared" si="28" ref="AT170:BF170">SUM(AT167:AT169)</f>
        <v>41045.83</v>
      </c>
      <c r="AU170" s="27">
        <f t="shared" si="28"/>
        <v>40795.83</v>
      </c>
      <c r="AV170" s="27">
        <f t="shared" si="28"/>
        <v>40795.83</v>
      </c>
      <c r="AW170" s="27">
        <f t="shared" si="28"/>
        <v>40795.83</v>
      </c>
      <c r="AX170" s="27">
        <f t="shared" si="28"/>
        <v>40795.83</v>
      </c>
      <c r="AY170" s="27">
        <f t="shared" si="28"/>
        <v>40795.83</v>
      </c>
      <c r="AZ170" s="27">
        <f t="shared" si="28"/>
        <v>40795.83</v>
      </c>
      <c r="BA170" s="27">
        <f t="shared" si="28"/>
        <v>40795.83</v>
      </c>
      <c r="BB170" s="27">
        <f t="shared" si="28"/>
        <v>40795.83</v>
      </c>
      <c r="BC170" s="27">
        <f t="shared" si="28"/>
        <v>40629.17</v>
      </c>
      <c r="BD170" s="27">
        <f t="shared" si="28"/>
        <v>40629.17</v>
      </c>
      <c r="BE170" s="45">
        <f t="shared" si="28"/>
        <v>40629.17</v>
      </c>
      <c r="BF170" s="31">
        <f t="shared" si="28"/>
        <v>489299.98000000004</v>
      </c>
    </row>
    <row r="171" ht="12.75">
      <c r="C171" s="12"/>
    </row>
    <row r="172" spans="1:3" ht="15.75">
      <c r="A172" s="1">
        <f>A166+1</f>
        <v>15</v>
      </c>
      <c r="C172" s="5" t="s">
        <v>61</v>
      </c>
    </row>
    <row r="173" spans="3:58" ht="12.75">
      <c r="C173" s="4" t="str">
        <f>C155</f>
        <v>Debt Reserve</v>
      </c>
      <c r="AT173" s="26">
        <v>595.42</v>
      </c>
      <c r="AU173" s="26">
        <v>595.42</v>
      </c>
      <c r="AV173" s="26">
        <v>582.08</v>
      </c>
      <c r="AW173" s="26">
        <v>582.08</v>
      </c>
      <c r="AX173" s="26">
        <v>582.08</v>
      </c>
      <c r="AY173" s="26">
        <v>582.08</v>
      </c>
      <c r="AZ173" s="26">
        <v>582.08</v>
      </c>
      <c r="BA173" s="26">
        <v>582.08</v>
      </c>
      <c r="BB173" s="26">
        <v>582.08</v>
      </c>
      <c r="BC173" s="26">
        <v>582.08</v>
      </c>
      <c r="BD173" s="26">
        <v>582.08</v>
      </c>
      <c r="BE173" s="44">
        <v>582.08</v>
      </c>
      <c r="BF173" s="26">
        <f>SUM(AT173:BE173)</f>
        <v>7011.639999999999</v>
      </c>
    </row>
    <row r="174" spans="3:58" ht="12.75">
      <c r="C174" s="4" t="str">
        <f>C156</f>
        <v>Treasury Fee</v>
      </c>
      <c r="AT174" s="32">
        <v>250</v>
      </c>
      <c r="BF174" s="26">
        <f>SUM(AT174:BE174)</f>
        <v>250</v>
      </c>
    </row>
    <row r="175" spans="3:58" ht="13.5" thickBot="1">
      <c r="C175" s="4" t="str">
        <f>C157</f>
        <v>Intercept</v>
      </c>
      <c r="AT175" s="26">
        <f>13333.33+27991.88</f>
        <v>41325.21</v>
      </c>
      <c r="AU175" s="26">
        <f>13333.33+27991.88</f>
        <v>41325.21</v>
      </c>
      <c r="AV175" s="26">
        <f>13333.33+27991.88</f>
        <v>41325.21</v>
      </c>
      <c r="AW175" s="26">
        <f>13333.33+27991.88</f>
        <v>41325.21</v>
      </c>
      <c r="AX175" s="26">
        <f>13333.33+27991.88</f>
        <v>41325.21</v>
      </c>
      <c r="AY175" s="26">
        <f>14166.67+27325.21</f>
        <v>41491.88</v>
      </c>
      <c r="AZ175" s="26">
        <f aca="true" t="shared" si="29" ref="AZ175:BE175">14166.67+27325.21</f>
        <v>41491.88</v>
      </c>
      <c r="BA175" s="26">
        <f t="shared" si="29"/>
        <v>41491.88</v>
      </c>
      <c r="BB175" s="26">
        <f t="shared" si="29"/>
        <v>41491.88</v>
      </c>
      <c r="BC175" s="26">
        <f t="shared" si="29"/>
        <v>41491.88</v>
      </c>
      <c r="BD175" s="26">
        <f t="shared" si="29"/>
        <v>41491.88</v>
      </c>
      <c r="BE175" s="44">
        <f t="shared" si="29"/>
        <v>41491.88</v>
      </c>
      <c r="BF175" s="26">
        <f>SUM(AT175:BE175)</f>
        <v>497069.21</v>
      </c>
    </row>
    <row r="176" spans="3:58" ht="13.5" thickBot="1">
      <c r="C176" s="6" t="s">
        <v>62</v>
      </c>
      <c r="AT176" s="27">
        <f aca="true" t="shared" si="30" ref="AT176:BF176">SUM(AT173:AT175)</f>
        <v>42170.63</v>
      </c>
      <c r="AU176" s="27">
        <f t="shared" si="30"/>
        <v>41920.63</v>
      </c>
      <c r="AV176" s="27">
        <f t="shared" si="30"/>
        <v>41907.29</v>
      </c>
      <c r="AW176" s="27">
        <f t="shared" si="30"/>
        <v>41907.29</v>
      </c>
      <c r="AX176" s="27">
        <f t="shared" si="30"/>
        <v>41907.29</v>
      </c>
      <c r="AY176" s="27">
        <f t="shared" si="30"/>
        <v>42073.96</v>
      </c>
      <c r="AZ176" s="27">
        <f t="shared" si="30"/>
        <v>42073.96</v>
      </c>
      <c r="BA176" s="27">
        <f t="shared" si="30"/>
        <v>42073.96</v>
      </c>
      <c r="BB176" s="27">
        <f t="shared" si="30"/>
        <v>42073.96</v>
      </c>
      <c r="BC176" s="27">
        <f t="shared" si="30"/>
        <v>42073.96</v>
      </c>
      <c r="BD176" s="27">
        <f t="shared" si="30"/>
        <v>42073.96</v>
      </c>
      <c r="BE176" s="45">
        <f t="shared" si="30"/>
        <v>42073.96</v>
      </c>
      <c r="BF176" s="31">
        <f t="shared" si="30"/>
        <v>504330.85000000003</v>
      </c>
    </row>
    <row r="177" ht="12.75">
      <c r="C177" s="12"/>
    </row>
    <row r="178" spans="1:3" ht="15.75">
      <c r="A178" s="1">
        <f>A172+1</f>
        <v>16</v>
      </c>
      <c r="C178" s="5" t="s">
        <v>63</v>
      </c>
    </row>
    <row r="179" spans="3:58" ht="12.75">
      <c r="C179" s="4" t="str">
        <f>C161</f>
        <v>Debt Reserve</v>
      </c>
      <c r="AT179" s="26">
        <v>878.75</v>
      </c>
      <c r="AU179" s="26">
        <v>878.75</v>
      </c>
      <c r="AV179" s="26">
        <v>857.5</v>
      </c>
      <c r="AW179" s="26">
        <v>857.5</v>
      </c>
      <c r="AX179" s="26">
        <v>857.5</v>
      </c>
      <c r="AY179" s="26">
        <v>857.5</v>
      </c>
      <c r="AZ179" s="26">
        <v>857.5</v>
      </c>
      <c r="BA179" s="26">
        <v>857.5</v>
      </c>
      <c r="BB179" s="26">
        <v>857.5</v>
      </c>
      <c r="BC179" s="26">
        <v>857.5</v>
      </c>
      <c r="BD179" s="26">
        <v>857.5</v>
      </c>
      <c r="BE179" s="44">
        <v>857.5</v>
      </c>
      <c r="BF179" s="26">
        <f>SUM(AT179:BE179)</f>
        <v>10332.5</v>
      </c>
    </row>
    <row r="180" spans="3:58" ht="12.75">
      <c r="C180" s="4" t="str">
        <f>C162</f>
        <v>Treasury Fee</v>
      </c>
      <c r="AT180" s="32">
        <v>250</v>
      </c>
      <c r="BF180" s="26">
        <f>SUM(AT180:BE180)</f>
        <v>250</v>
      </c>
    </row>
    <row r="181" spans="3:58" ht="13.5" thickBot="1">
      <c r="C181" s="4" t="str">
        <f>C163</f>
        <v>Intercept</v>
      </c>
      <c r="AT181" s="26">
        <f aca="true" t="shared" si="31" ref="AT181:BD181">22083.33+37779.58</f>
        <v>59862.91</v>
      </c>
      <c r="AU181" s="26">
        <f t="shared" si="31"/>
        <v>59862.91</v>
      </c>
      <c r="AV181" s="26">
        <f t="shared" si="31"/>
        <v>59862.91</v>
      </c>
      <c r="AW181" s="26">
        <f t="shared" si="31"/>
        <v>59862.91</v>
      </c>
      <c r="AX181" s="26">
        <f t="shared" si="31"/>
        <v>59862.91</v>
      </c>
      <c r="AY181" s="26">
        <f t="shared" si="31"/>
        <v>59862.91</v>
      </c>
      <c r="AZ181" s="26">
        <f t="shared" si="31"/>
        <v>59862.91</v>
      </c>
      <c r="BA181" s="26">
        <f t="shared" si="31"/>
        <v>59862.91</v>
      </c>
      <c r="BB181" s="26">
        <f t="shared" si="31"/>
        <v>59862.91</v>
      </c>
      <c r="BC181" s="26">
        <f t="shared" si="31"/>
        <v>59862.91</v>
      </c>
      <c r="BD181" s="26">
        <f t="shared" si="31"/>
        <v>59862.91</v>
      </c>
      <c r="BE181" s="44">
        <f>22916.67+36896.25</f>
        <v>59812.92</v>
      </c>
      <c r="BF181" s="26">
        <f>SUM(AT181:BE181)</f>
        <v>718304.9300000003</v>
      </c>
    </row>
    <row r="182" spans="3:58" ht="13.5" thickBot="1">
      <c r="C182" s="6" t="s">
        <v>64</v>
      </c>
      <c r="AT182" s="27">
        <f aca="true" t="shared" si="32" ref="AT182:BF182">SUM(AT179:AT181)</f>
        <v>60991.66</v>
      </c>
      <c r="AU182" s="27">
        <f t="shared" si="32"/>
        <v>60741.66</v>
      </c>
      <c r="AV182" s="27">
        <f t="shared" si="32"/>
        <v>60720.41</v>
      </c>
      <c r="AW182" s="27">
        <f t="shared" si="32"/>
        <v>60720.41</v>
      </c>
      <c r="AX182" s="27">
        <f t="shared" si="32"/>
        <v>60720.41</v>
      </c>
      <c r="AY182" s="27">
        <f t="shared" si="32"/>
        <v>60720.41</v>
      </c>
      <c r="AZ182" s="27">
        <f t="shared" si="32"/>
        <v>60720.41</v>
      </c>
      <c r="BA182" s="27">
        <f t="shared" si="32"/>
        <v>60720.41</v>
      </c>
      <c r="BB182" s="27">
        <f t="shared" si="32"/>
        <v>60720.41</v>
      </c>
      <c r="BC182" s="27">
        <f t="shared" si="32"/>
        <v>60720.41</v>
      </c>
      <c r="BD182" s="27">
        <f t="shared" si="32"/>
        <v>60720.41</v>
      </c>
      <c r="BE182" s="45">
        <f t="shared" si="32"/>
        <v>60670.42</v>
      </c>
      <c r="BF182" s="31">
        <f t="shared" si="32"/>
        <v>728887.4300000003</v>
      </c>
    </row>
    <row r="183" ht="12.75">
      <c r="C183" s="12"/>
    </row>
    <row r="184" spans="1:3" ht="15.75">
      <c r="A184" s="1">
        <f>A178+1</f>
        <v>17</v>
      </c>
      <c r="C184" s="5" t="s">
        <v>66</v>
      </c>
    </row>
    <row r="185" spans="3:58" ht="12.75">
      <c r="C185" s="4" t="str">
        <f>C167</f>
        <v>Debt Reserve</v>
      </c>
      <c r="AT185" s="26">
        <v>1046.82</v>
      </c>
      <c r="AU185" s="26">
        <v>1046.82</v>
      </c>
      <c r="AV185" s="26">
        <v>1046.82</v>
      </c>
      <c r="AW185" s="26">
        <v>1046.82</v>
      </c>
      <c r="AX185" s="26">
        <v>1046.82</v>
      </c>
      <c r="AY185" s="26">
        <v>1046.82</v>
      </c>
      <c r="AZ185" s="26">
        <v>1046.82</v>
      </c>
      <c r="BA185" s="26">
        <v>1046.82</v>
      </c>
      <c r="BB185" s="26">
        <v>1046.82</v>
      </c>
      <c r="BC185" s="26">
        <v>1046.82</v>
      </c>
      <c r="BD185" s="26">
        <v>1046.82</v>
      </c>
      <c r="BE185" s="44">
        <v>999.74</v>
      </c>
      <c r="BF185" s="26">
        <f>SUM(AT185:BE185)</f>
        <v>12514.759999999998</v>
      </c>
    </row>
    <row r="186" spans="3:58" ht="12.75">
      <c r="C186" s="4" t="str">
        <f>C168</f>
        <v>Treasury Fee</v>
      </c>
      <c r="AT186" s="32">
        <v>250</v>
      </c>
      <c r="BF186" s="26">
        <f>SUM(AT186:BE186)</f>
        <v>250</v>
      </c>
    </row>
    <row r="187" spans="3:58" ht="13.5" thickBot="1">
      <c r="C187" s="4" t="str">
        <f>C169</f>
        <v>Intercept</v>
      </c>
      <c r="AT187" s="26">
        <f aca="true" t="shared" si="33" ref="AT187:BD187">45000+52876.04</f>
        <v>97876.04000000001</v>
      </c>
      <c r="AU187" s="26">
        <f t="shared" si="33"/>
        <v>97876.04000000001</v>
      </c>
      <c r="AV187" s="26">
        <f t="shared" si="33"/>
        <v>97876.04000000001</v>
      </c>
      <c r="AW187" s="26">
        <f t="shared" si="33"/>
        <v>97876.04000000001</v>
      </c>
      <c r="AX187" s="26">
        <f t="shared" si="33"/>
        <v>97876.04000000001</v>
      </c>
      <c r="AY187" s="26">
        <f t="shared" si="33"/>
        <v>97876.04000000001</v>
      </c>
      <c r="AZ187" s="26">
        <f t="shared" si="33"/>
        <v>97876.04000000001</v>
      </c>
      <c r="BA187" s="26">
        <f t="shared" si="33"/>
        <v>97876.04000000001</v>
      </c>
      <c r="BB187" s="26">
        <f t="shared" si="33"/>
        <v>97876.04000000001</v>
      </c>
      <c r="BC187" s="26">
        <f t="shared" si="33"/>
        <v>97876.04000000001</v>
      </c>
      <c r="BD187" s="26">
        <f t="shared" si="33"/>
        <v>97876.04000000001</v>
      </c>
      <c r="BE187" s="44">
        <f>47083.33+51076.04</f>
        <v>98159.37</v>
      </c>
      <c r="BF187" s="26">
        <f>SUM(AT187:BE187)</f>
        <v>1174795.81</v>
      </c>
    </row>
    <row r="188" spans="3:58" ht="13.5" thickBot="1">
      <c r="C188" s="6" t="s">
        <v>67</v>
      </c>
      <c r="AT188" s="27">
        <f aca="true" t="shared" si="34" ref="AT188:BF188">SUM(AT185:AT187)</f>
        <v>99172.86000000002</v>
      </c>
      <c r="AU188" s="27">
        <f t="shared" si="34"/>
        <v>98922.86000000002</v>
      </c>
      <c r="AV188" s="27">
        <f t="shared" si="34"/>
        <v>98922.86000000002</v>
      </c>
      <c r="AW188" s="27">
        <f t="shared" si="34"/>
        <v>98922.86000000002</v>
      </c>
      <c r="AX188" s="27">
        <f t="shared" si="34"/>
        <v>98922.86000000002</v>
      </c>
      <c r="AY188" s="27">
        <f t="shared" si="34"/>
        <v>98922.86000000002</v>
      </c>
      <c r="AZ188" s="27">
        <f t="shared" si="34"/>
        <v>98922.86000000002</v>
      </c>
      <c r="BA188" s="27">
        <f t="shared" si="34"/>
        <v>98922.86000000002</v>
      </c>
      <c r="BB188" s="27">
        <f t="shared" si="34"/>
        <v>98922.86000000002</v>
      </c>
      <c r="BC188" s="27">
        <f t="shared" si="34"/>
        <v>98922.86000000002</v>
      </c>
      <c r="BD188" s="27">
        <f t="shared" si="34"/>
        <v>98922.86000000002</v>
      </c>
      <c r="BE188" s="45">
        <f t="shared" si="34"/>
        <v>99159.11</v>
      </c>
      <c r="BF188" s="31">
        <f t="shared" si="34"/>
        <v>1187560.57</v>
      </c>
    </row>
    <row r="189" ht="12.75">
      <c r="C189" s="12"/>
    </row>
    <row r="190" spans="1:3" ht="15.75">
      <c r="A190" s="1">
        <f>A184+1</f>
        <v>18</v>
      </c>
      <c r="C190" s="5" t="s">
        <v>68</v>
      </c>
    </row>
    <row r="191" spans="3:58" ht="12.75">
      <c r="C191" s="4" t="str">
        <f>C173</f>
        <v>Debt Reserve</v>
      </c>
      <c r="AT191" s="26">
        <v>0</v>
      </c>
      <c r="AU191" s="26">
        <v>0</v>
      </c>
      <c r="AV191" s="26">
        <v>0</v>
      </c>
      <c r="AW191" s="26">
        <v>0</v>
      </c>
      <c r="AX191" s="26">
        <v>0</v>
      </c>
      <c r="AY191" s="26">
        <v>0</v>
      </c>
      <c r="AZ191" s="26">
        <v>0</v>
      </c>
      <c r="BA191" s="26">
        <v>0</v>
      </c>
      <c r="BB191" s="26">
        <v>0</v>
      </c>
      <c r="BC191" s="26">
        <v>0</v>
      </c>
      <c r="BD191" s="26">
        <v>0</v>
      </c>
      <c r="BE191" s="44">
        <v>0</v>
      </c>
      <c r="BF191" s="26">
        <f>SUM(AT191:BE191)</f>
        <v>0</v>
      </c>
    </row>
    <row r="192" spans="3:58" ht="12.75">
      <c r="C192" s="4" t="str">
        <f>C174</f>
        <v>Treasury Fee</v>
      </c>
      <c r="AT192" s="32">
        <v>250</v>
      </c>
      <c r="BF192" s="26">
        <f>SUM(AT192:BE192)</f>
        <v>250</v>
      </c>
    </row>
    <row r="193" spans="3:58" ht="13.5" thickBot="1">
      <c r="C193" s="4" t="str">
        <f>C175</f>
        <v>Intercept</v>
      </c>
      <c r="AT193" s="26">
        <f>11666.67+37796.36</f>
        <v>49463.03</v>
      </c>
      <c r="AU193" s="26">
        <f>11666.67+37796.36</f>
        <v>49463.03</v>
      </c>
      <c r="AV193" s="26">
        <f>11666.67+37796.36</f>
        <v>49463.03</v>
      </c>
      <c r="AW193" s="26">
        <f>11666.67+37796.36</f>
        <v>49463.03</v>
      </c>
      <c r="AX193" s="26">
        <f>11666.67+37796.36</f>
        <v>49463.03</v>
      </c>
      <c r="AY193" s="26">
        <f>12500+37081.77</f>
        <v>49581.77</v>
      </c>
      <c r="AZ193" s="26">
        <f aca="true" t="shared" si="35" ref="AZ193:BE193">12500+37081.77</f>
        <v>49581.77</v>
      </c>
      <c r="BA193" s="26">
        <f t="shared" si="35"/>
        <v>49581.77</v>
      </c>
      <c r="BB193" s="26">
        <f t="shared" si="35"/>
        <v>49581.77</v>
      </c>
      <c r="BC193" s="26">
        <f t="shared" si="35"/>
        <v>49581.77</v>
      </c>
      <c r="BD193" s="26">
        <f t="shared" si="35"/>
        <v>49581.77</v>
      </c>
      <c r="BE193" s="44">
        <f t="shared" si="35"/>
        <v>49581.77</v>
      </c>
      <c r="BF193" s="26">
        <f>SUM(AT193:BE193)</f>
        <v>594387.54</v>
      </c>
    </row>
    <row r="194" spans="3:58" ht="13.5" thickBot="1">
      <c r="C194" s="6" t="s">
        <v>69</v>
      </c>
      <c r="AT194" s="27">
        <f aca="true" t="shared" si="36" ref="AT194:BF194">SUM(AT191:AT193)</f>
        <v>49713.03</v>
      </c>
      <c r="AU194" s="27">
        <f t="shared" si="36"/>
        <v>49463.03</v>
      </c>
      <c r="AV194" s="27">
        <f t="shared" si="36"/>
        <v>49463.03</v>
      </c>
      <c r="AW194" s="27">
        <f t="shared" si="36"/>
        <v>49463.03</v>
      </c>
      <c r="AX194" s="27">
        <f t="shared" si="36"/>
        <v>49463.03</v>
      </c>
      <c r="AY194" s="27">
        <f t="shared" si="36"/>
        <v>49581.77</v>
      </c>
      <c r="AZ194" s="27">
        <f t="shared" si="36"/>
        <v>49581.77</v>
      </c>
      <c r="BA194" s="27">
        <f t="shared" si="36"/>
        <v>49581.77</v>
      </c>
      <c r="BB194" s="27">
        <f t="shared" si="36"/>
        <v>49581.77</v>
      </c>
      <c r="BC194" s="27">
        <f t="shared" si="36"/>
        <v>49581.77</v>
      </c>
      <c r="BD194" s="27">
        <f t="shared" si="36"/>
        <v>49581.77</v>
      </c>
      <c r="BE194" s="45">
        <f t="shared" si="36"/>
        <v>49581.77</v>
      </c>
      <c r="BF194" s="31">
        <f t="shared" si="36"/>
        <v>594637.54</v>
      </c>
    </row>
    <row r="195" ht="12.75">
      <c r="C195" s="12"/>
    </row>
    <row r="196" spans="1:3" ht="15.75">
      <c r="A196" s="1">
        <f>A190+1</f>
        <v>19</v>
      </c>
      <c r="C196" s="5" t="s">
        <v>70</v>
      </c>
    </row>
    <row r="197" spans="3:58" ht="12.75">
      <c r="C197" s="4" t="str">
        <f>C179</f>
        <v>Debt Reserve</v>
      </c>
      <c r="AT197" s="26">
        <v>739.17</v>
      </c>
      <c r="AU197" s="26">
        <v>739.17</v>
      </c>
      <c r="AV197" s="26">
        <v>739.17</v>
      </c>
      <c r="AW197" s="26">
        <v>739.17</v>
      </c>
      <c r="AX197" s="26">
        <v>722.92</v>
      </c>
      <c r="AY197" s="26">
        <v>722.92</v>
      </c>
      <c r="AZ197" s="26">
        <v>722.92</v>
      </c>
      <c r="BA197" s="26">
        <v>722.92</v>
      </c>
      <c r="BB197" s="26">
        <v>722.92</v>
      </c>
      <c r="BC197" s="26">
        <v>722.92</v>
      </c>
      <c r="BD197" s="26">
        <v>722.92</v>
      </c>
      <c r="BE197" s="44">
        <v>722.92</v>
      </c>
      <c r="BF197" s="26">
        <f>SUM(AT197:BE197)</f>
        <v>8740.039999999999</v>
      </c>
    </row>
    <row r="198" spans="3:58" ht="12.75">
      <c r="C198" s="4" t="str">
        <f>C180</f>
        <v>Treasury Fee</v>
      </c>
      <c r="AT198" s="32">
        <v>250</v>
      </c>
      <c r="BF198" s="26">
        <f>SUM(AT198:BE198)</f>
        <v>250</v>
      </c>
    </row>
    <row r="199" spans="3:58" ht="13.5" thickBot="1">
      <c r="C199" s="4" t="str">
        <f>C181</f>
        <v>Intercept</v>
      </c>
      <c r="AT199" s="26">
        <f>16250+32217.71</f>
        <v>48467.71</v>
      </c>
      <c r="AU199" s="26">
        <f>16250+32217.71</f>
        <v>48467.71</v>
      </c>
      <c r="AV199" s="26">
        <f>16250+32217.71</f>
        <v>48467.71</v>
      </c>
      <c r="AW199" s="26">
        <f>16666.67+31567.71</f>
        <v>48234.38</v>
      </c>
      <c r="AX199" s="26">
        <f aca="true" t="shared" si="37" ref="AX199:BE199">16666.67+31567.71</f>
        <v>48234.38</v>
      </c>
      <c r="AY199" s="26">
        <f t="shared" si="37"/>
        <v>48234.38</v>
      </c>
      <c r="AZ199" s="26">
        <f t="shared" si="37"/>
        <v>48234.38</v>
      </c>
      <c r="BA199" s="26">
        <f t="shared" si="37"/>
        <v>48234.38</v>
      </c>
      <c r="BB199" s="26">
        <f t="shared" si="37"/>
        <v>48234.38</v>
      </c>
      <c r="BC199" s="26">
        <f t="shared" si="37"/>
        <v>48234.38</v>
      </c>
      <c r="BD199" s="26">
        <f t="shared" si="37"/>
        <v>48234.38</v>
      </c>
      <c r="BE199" s="44">
        <f t="shared" si="37"/>
        <v>48234.38</v>
      </c>
      <c r="BF199" s="26">
        <f>SUM(AT199:BE199)</f>
        <v>579512.55</v>
      </c>
    </row>
    <row r="200" spans="3:58" ht="13.5" thickBot="1">
      <c r="C200" s="6" t="s">
        <v>71</v>
      </c>
      <c r="AT200" s="27">
        <f aca="true" t="shared" si="38" ref="AT200:BF200">SUM(AT197:AT199)</f>
        <v>49456.88</v>
      </c>
      <c r="AU200" s="27">
        <f t="shared" si="38"/>
        <v>49206.88</v>
      </c>
      <c r="AV200" s="27">
        <f t="shared" si="38"/>
        <v>49206.88</v>
      </c>
      <c r="AW200" s="27">
        <f t="shared" si="38"/>
        <v>48973.549999999996</v>
      </c>
      <c r="AX200" s="27">
        <f t="shared" si="38"/>
        <v>48957.299999999996</v>
      </c>
      <c r="AY200" s="27">
        <f t="shared" si="38"/>
        <v>48957.299999999996</v>
      </c>
      <c r="AZ200" s="27">
        <f t="shared" si="38"/>
        <v>48957.299999999996</v>
      </c>
      <c r="BA200" s="27">
        <f t="shared" si="38"/>
        <v>48957.299999999996</v>
      </c>
      <c r="BB200" s="27">
        <f t="shared" si="38"/>
        <v>48957.299999999996</v>
      </c>
      <c r="BC200" s="27">
        <f t="shared" si="38"/>
        <v>48957.299999999996</v>
      </c>
      <c r="BD200" s="27">
        <f t="shared" si="38"/>
        <v>48957.299999999996</v>
      </c>
      <c r="BE200" s="45">
        <f t="shared" si="38"/>
        <v>48957.299999999996</v>
      </c>
      <c r="BF200" s="31">
        <f t="shared" si="38"/>
        <v>588502.5900000001</v>
      </c>
    </row>
    <row r="201" ht="12.75">
      <c r="C201" s="12"/>
    </row>
    <row r="202" spans="1:3" ht="15.75">
      <c r="A202" s="1">
        <f>A196+1</f>
        <v>20</v>
      </c>
      <c r="C202" s="5" t="s">
        <v>138</v>
      </c>
    </row>
    <row r="203" spans="3:58" ht="12.75">
      <c r="C203" s="4" t="str">
        <f>C185</f>
        <v>Debt Reserve</v>
      </c>
      <c r="AT203" s="26">
        <v>0</v>
      </c>
      <c r="AU203" s="26">
        <v>0</v>
      </c>
      <c r="AV203" s="26">
        <v>0</v>
      </c>
      <c r="AW203" s="26">
        <v>0</v>
      </c>
      <c r="AX203" s="26">
        <v>0</v>
      </c>
      <c r="AY203" s="26">
        <v>0</v>
      </c>
      <c r="AZ203" s="26">
        <v>0</v>
      </c>
      <c r="BA203" s="26">
        <v>0</v>
      </c>
      <c r="BB203" s="26">
        <v>0</v>
      </c>
      <c r="BC203" s="26">
        <v>0</v>
      </c>
      <c r="BD203" s="26">
        <v>0</v>
      </c>
      <c r="BE203" s="44">
        <v>0</v>
      </c>
      <c r="BF203" s="26">
        <f>SUM(AT203:BE203)</f>
        <v>0</v>
      </c>
    </row>
    <row r="204" spans="3:58" ht="12.75">
      <c r="C204" s="4" t="str">
        <f>C186</f>
        <v>Treasury Fee</v>
      </c>
      <c r="AT204" s="32">
        <v>250</v>
      </c>
      <c r="BF204" s="26">
        <f>SUM(AT204:BE204)</f>
        <v>250</v>
      </c>
    </row>
    <row r="205" spans="3:58" ht="13.5" thickBot="1">
      <c r="C205" s="4" t="str">
        <f>C187</f>
        <v>Intercept</v>
      </c>
      <c r="AT205" s="32">
        <f>14166.67+49425</f>
        <v>63591.67</v>
      </c>
      <c r="AU205" s="32">
        <f>14166.67+49425</f>
        <v>63591.67</v>
      </c>
      <c r="AV205" s="32">
        <f>14166.67+49425</f>
        <v>63591.67</v>
      </c>
      <c r="AW205" s="26">
        <f>15000+48575</f>
        <v>63575</v>
      </c>
      <c r="AX205" s="26">
        <f aca="true" t="shared" si="39" ref="AX205:BE205">15000+48575</f>
        <v>63575</v>
      </c>
      <c r="AY205" s="26">
        <f t="shared" si="39"/>
        <v>63575</v>
      </c>
      <c r="AZ205" s="26">
        <f t="shared" si="39"/>
        <v>63575</v>
      </c>
      <c r="BA205" s="26">
        <f t="shared" si="39"/>
        <v>63575</v>
      </c>
      <c r="BB205" s="26">
        <f t="shared" si="39"/>
        <v>63575</v>
      </c>
      <c r="BC205" s="26">
        <f t="shared" si="39"/>
        <v>63575</v>
      </c>
      <c r="BD205" s="26">
        <f t="shared" si="39"/>
        <v>63575</v>
      </c>
      <c r="BE205" s="44">
        <f t="shared" si="39"/>
        <v>63575</v>
      </c>
      <c r="BF205" s="26">
        <f>SUM(AT205:BE205)</f>
        <v>762950.01</v>
      </c>
    </row>
    <row r="206" spans="3:58" ht="13.5" thickBot="1">
      <c r="C206" s="6" t="s">
        <v>72</v>
      </c>
      <c r="AT206" s="27">
        <f aca="true" t="shared" si="40" ref="AT206:BF206">SUM(AT203:AT205)</f>
        <v>63841.67</v>
      </c>
      <c r="AU206" s="27">
        <f t="shared" si="40"/>
        <v>63591.67</v>
      </c>
      <c r="AV206" s="27">
        <f t="shared" si="40"/>
        <v>63591.67</v>
      </c>
      <c r="AW206" s="27">
        <f t="shared" si="40"/>
        <v>63575</v>
      </c>
      <c r="AX206" s="27">
        <f t="shared" si="40"/>
        <v>63575</v>
      </c>
      <c r="AY206" s="27">
        <f t="shared" si="40"/>
        <v>63575</v>
      </c>
      <c r="AZ206" s="27">
        <f t="shared" si="40"/>
        <v>63575</v>
      </c>
      <c r="BA206" s="27">
        <f t="shared" si="40"/>
        <v>63575</v>
      </c>
      <c r="BB206" s="27">
        <f t="shared" si="40"/>
        <v>63575</v>
      </c>
      <c r="BC206" s="27">
        <f t="shared" si="40"/>
        <v>63575</v>
      </c>
      <c r="BD206" s="27">
        <f t="shared" si="40"/>
        <v>63575</v>
      </c>
      <c r="BE206" s="45">
        <f t="shared" si="40"/>
        <v>63575</v>
      </c>
      <c r="BF206" s="31">
        <f t="shared" si="40"/>
        <v>763200.01</v>
      </c>
    </row>
    <row r="207" ht="12.75">
      <c r="C207" s="12"/>
    </row>
    <row r="208" spans="1:3" ht="15.75">
      <c r="A208" s="1">
        <f>A202+1</f>
        <v>21</v>
      </c>
      <c r="C208" s="5" t="s">
        <v>73</v>
      </c>
    </row>
    <row r="209" spans="3:58" ht="12.75">
      <c r="C209" s="4" t="str">
        <f>C191</f>
        <v>Debt Reserve</v>
      </c>
      <c r="AT209" s="26">
        <v>0</v>
      </c>
      <c r="AU209" s="26">
        <v>0</v>
      </c>
      <c r="AV209" s="26">
        <v>0</v>
      </c>
      <c r="AW209" s="26">
        <v>0</v>
      </c>
      <c r="AX209" s="26">
        <v>0</v>
      </c>
      <c r="AY209" s="26">
        <v>0</v>
      </c>
      <c r="AZ209" s="26">
        <v>0</v>
      </c>
      <c r="BA209" s="26">
        <v>0</v>
      </c>
      <c r="BB209" s="26">
        <v>0</v>
      </c>
      <c r="BC209" s="26">
        <v>0</v>
      </c>
      <c r="BD209" s="26">
        <v>0</v>
      </c>
      <c r="BE209" s="44">
        <v>0</v>
      </c>
      <c r="BF209" s="26">
        <f>SUM(AT209:BE209)</f>
        <v>0</v>
      </c>
    </row>
    <row r="210" spans="3:58" ht="12.75">
      <c r="C210" s="4" t="str">
        <f>C192</f>
        <v>Treasury Fee</v>
      </c>
      <c r="AT210" s="32">
        <v>250</v>
      </c>
      <c r="BF210" s="26">
        <f>SUM(AT210:BE210)</f>
        <v>250</v>
      </c>
    </row>
    <row r="211" spans="3:58" ht="13.5" thickBot="1">
      <c r="C211" s="4" t="str">
        <f>C193</f>
        <v>Intercept</v>
      </c>
      <c r="AT211" s="26">
        <f aca="true" t="shared" si="41" ref="AT211:BC211">12916.67+30795.42</f>
        <v>43712.09</v>
      </c>
      <c r="AU211" s="26">
        <f t="shared" si="41"/>
        <v>43712.09</v>
      </c>
      <c r="AV211" s="26">
        <f t="shared" si="41"/>
        <v>43712.09</v>
      </c>
      <c r="AW211" s="26">
        <f t="shared" si="41"/>
        <v>43712.09</v>
      </c>
      <c r="AX211" s="26">
        <f t="shared" si="41"/>
        <v>43712.09</v>
      </c>
      <c r="AY211" s="26">
        <f t="shared" si="41"/>
        <v>43712.09</v>
      </c>
      <c r="AZ211" s="26">
        <f t="shared" si="41"/>
        <v>43712.09</v>
      </c>
      <c r="BA211" s="26">
        <f t="shared" si="41"/>
        <v>43712.09</v>
      </c>
      <c r="BB211" s="26">
        <f t="shared" si="41"/>
        <v>43712.09</v>
      </c>
      <c r="BC211" s="26">
        <f t="shared" si="41"/>
        <v>43712.09</v>
      </c>
      <c r="BD211" s="26">
        <f>13750+30097.92</f>
        <v>43847.92</v>
      </c>
      <c r="BE211" s="44">
        <f>13750+30097.92</f>
        <v>43847.92</v>
      </c>
      <c r="BF211" s="26">
        <f>SUM(AT211:BE211)</f>
        <v>524816.7399999999</v>
      </c>
    </row>
    <row r="212" spans="3:58" ht="13.5" thickBot="1">
      <c r="C212" s="6" t="s">
        <v>20</v>
      </c>
      <c r="AT212" s="27">
        <f aca="true" t="shared" si="42" ref="AT212:BF212">SUM(AT209:AT211)</f>
        <v>43962.09</v>
      </c>
      <c r="AU212" s="27">
        <f t="shared" si="42"/>
        <v>43712.09</v>
      </c>
      <c r="AV212" s="27">
        <f t="shared" si="42"/>
        <v>43712.09</v>
      </c>
      <c r="AW212" s="27">
        <f t="shared" si="42"/>
        <v>43712.09</v>
      </c>
      <c r="AX212" s="27">
        <f t="shared" si="42"/>
        <v>43712.09</v>
      </c>
      <c r="AY212" s="27">
        <f t="shared" si="42"/>
        <v>43712.09</v>
      </c>
      <c r="AZ212" s="27">
        <f t="shared" si="42"/>
        <v>43712.09</v>
      </c>
      <c r="BA212" s="27">
        <f t="shared" si="42"/>
        <v>43712.09</v>
      </c>
      <c r="BB212" s="27">
        <f t="shared" si="42"/>
        <v>43712.09</v>
      </c>
      <c r="BC212" s="27">
        <f t="shared" si="42"/>
        <v>43712.09</v>
      </c>
      <c r="BD212" s="27">
        <f t="shared" si="42"/>
        <v>43847.92</v>
      </c>
      <c r="BE212" s="45">
        <f t="shared" si="42"/>
        <v>43847.92</v>
      </c>
      <c r="BF212" s="31">
        <f t="shared" si="42"/>
        <v>525066.7399999999</v>
      </c>
    </row>
    <row r="213" ht="12.75">
      <c r="C213" s="12"/>
    </row>
    <row r="214" spans="1:3" ht="15.75">
      <c r="A214" s="1">
        <f>A208+1</f>
        <v>22</v>
      </c>
      <c r="C214" s="5" t="s">
        <v>74</v>
      </c>
    </row>
    <row r="215" spans="3:58" ht="12.75">
      <c r="C215" s="4" t="str">
        <f>C197</f>
        <v>Debt Reserve</v>
      </c>
      <c r="AT215" s="26">
        <v>0</v>
      </c>
      <c r="AU215" s="26">
        <v>0</v>
      </c>
      <c r="AV215" s="26">
        <v>0</v>
      </c>
      <c r="AW215" s="26">
        <v>0</v>
      </c>
      <c r="AX215" s="26">
        <v>0</v>
      </c>
      <c r="AY215" s="26">
        <v>0</v>
      </c>
      <c r="AZ215" s="26">
        <v>0</v>
      </c>
      <c r="BA215" s="26">
        <v>0</v>
      </c>
      <c r="BB215" s="26">
        <v>0</v>
      </c>
      <c r="BC215" s="26">
        <v>0</v>
      </c>
      <c r="BD215" s="26">
        <v>0</v>
      </c>
      <c r="BE215" s="44">
        <v>0</v>
      </c>
      <c r="BF215" s="26">
        <f>SUM(AT215:BE215)</f>
        <v>0</v>
      </c>
    </row>
    <row r="216" spans="3:58" ht="12.75">
      <c r="C216" s="4" t="str">
        <f>C198</f>
        <v>Treasury Fee</v>
      </c>
      <c r="AT216" s="32">
        <v>250</v>
      </c>
      <c r="BF216" s="26">
        <f>SUM(AT216:BE216)</f>
        <v>250</v>
      </c>
    </row>
    <row r="217" spans="3:58" ht="13.5" thickBot="1">
      <c r="C217" s="4" t="str">
        <f>C199</f>
        <v>Intercept</v>
      </c>
      <c r="AT217" s="26">
        <f>7916.67+22617.19</f>
        <v>30533.86</v>
      </c>
      <c r="AU217" s="26">
        <f>7916.67+22617.19</f>
        <v>30533.86</v>
      </c>
      <c r="AV217" s="26">
        <f>7916.67+22617.19</f>
        <v>30533.86</v>
      </c>
      <c r="AW217" s="26">
        <f>7916.67+22617.19</f>
        <v>30533.86</v>
      </c>
      <c r="AX217" s="26">
        <f>8333.33+22171.88</f>
        <v>30505.21</v>
      </c>
      <c r="AY217" s="26">
        <f aca="true" t="shared" si="43" ref="AY217:BE217">8333.33+22171.88</f>
        <v>30505.21</v>
      </c>
      <c r="AZ217" s="26">
        <f t="shared" si="43"/>
        <v>30505.21</v>
      </c>
      <c r="BA217" s="26">
        <f t="shared" si="43"/>
        <v>30505.21</v>
      </c>
      <c r="BB217" s="26">
        <f t="shared" si="43"/>
        <v>30505.21</v>
      </c>
      <c r="BC217" s="26">
        <f t="shared" si="43"/>
        <v>30505.21</v>
      </c>
      <c r="BD217" s="26">
        <f t="shared" si="43"/>
        <v>30505.21</v>
      </c>
      <c r="BE217" s="44">
        <f t="shared" si="43"/>
        <v>30505.21</v>
      </c>
      <c r="BF217" s="26">
        <f>SUM(AT217:BE217)</f>
        <v>366177.12000000005</v>
      </c>
    </row>
    <row r="218" spans="3:58" ht="13.5" thickBot="1">
      <c r="C218" s="6" t="s">
        <v>75</v>
      </c>
      <c r="AT218" s="27">
        <f aca="true" t="shared" si="44" ref="AT218:BF218">SUM(AT215:AT217)</f>
        <v>30783.86</v>
      </c>
      <c r="AU218" s="27">
        <f t="shared" si="44"/>
        <v>30533.86</v>
      </c>
      <c r="AV218" s="27">
        <f t="shared" si="44"/>
        <v>30533.86</v>
      </c>
      <c r="AW218" s="27">
        <f t="shared" si="44"/>
        <v>30533.86</v>
      </c>
      <c r="AX218" s="27">
        <f t="shared" si="44"/>
        <v>30505.21</v>
      </c>
      <c r="AY218" s="27">
        <f t="shared" si="44"/>
        <v>30505.21</v>
      </c>
      <c r="AZ218" s="27">
        <f t="shared" si="44"/>
        <v>30505.21</v>
      </c>
      <c r="BA218" s="27">
        <f t="shared" si="44"/>
        <v>30505.21</v>
      </c>
      <c r="BB218" s="27">
        <f t="shared" si="44"/>
        <v>30505.21</v>
      </c>
      <c r="BC218" s="27">
        <f t="shared" si="44"/>
        <v>30505.21</v>
      </c>
      <c r="BD218" s="27">
        <f t="shared" si="44"/>
        <v>30505.21</v>
      </c>
      <c r="BE218" s="45">
        <f t="shared" si="44"/>
        <v>30505.21</v>
      </c>
      <c r="BF218" s="31">
        <f t="shared" si="44"/>
        <v>366427.12000000005</v>
      </c>
    </row>
    <row r="219" ht="12.75">
      <c r="C219" s="12"/>
    </row>
    <row r="220" spans="1:3" ht="15.75">
      <c r="A220" s="1">
        <f>A214+1</f>
        <v>23</v>
      </c>
      <c r="C220" s="5" t="s">
        <v>76</v>
      </c>
    </row>
    <row r="221" spans="3:58" ht="12.75">
      <c r="C221" s="4" t="str">
        <f>C203</f>
        <v>Debt Reserve</v>
      </c>
      <c r="AT221" s="26">
        <v>397.66</v>
      </c>
      <c r="AU221" s="26">
        <v>397.66</v>
      </c>
      <c r="AV221" s="26">
        <v>397.66</v>
      </c>
      <c r="AW221" s="26">
        <v>397.66</v>
      </c>
      <c r="AX221" s="26">
        <v>397.66</v>
      </c>
      <c r="AY221" s="26">
        <v>397.66</v>
      </c>
      <c r="AZ221" s="26">
        <v>386.86</v>
      </c>
      <c r="BA221" s="26">
        <v>386.86</v>
      </c>
      <c r="BB221" s="26">
        <v>386.86</v>
      </c>
      <c r="BC221" s="26">
        <v>386.86</v>
      </c>
      <c r="BD221" s="26">
        <v>386.86</v>
      </c>
      <c r="BE221" s="44">
        <v>386.86</v>
      </c>
      <c r="BF221" s="26">
        <f>SUM(AT221:BE221)</f>
        <v>4707.12</v>
      </c>
    </row>
    <row r="222" spans="3:58" ht="12.75">
      <c r="C222" s="4" t="str">
        <f>C204</f>
        <v>Treasury Fee</v>
      </c>
      <c r="AT222" s="32">
        <v>250</v>
      </c>
      <c r="BF222" s="26">
        <f>SUM(AT222:BE222)</f>
        <v>250</v>
      </c>
    </row>
    <row r="223" spans="3:58" ht="13.5" thickBot="1">
      <c r="C223" s="4" t="str">
        <f>C205</f>
        <v>Intercept</v>
      </c>
      <c r="AT223" s="26">
        <f>10833.33+16873.75</f>
        <v>27707.08</v>
      </c>
      <c r="AU223" s="26">
        <f>10833.33+16873.75</f>
        <v>27707.08</v>
      </c>
      <c r="AV223" s="26">
        <f>10833.33+16873.75</f>
        <v>27707.08</v>
      </c>
      <c r="AW223" s="26">
        <f>10833.33+16873.75</f>
        <v>27707.08</v>
      </c>
      <c r="AX223" s="26">
        <f>10833.33+16873.75</f>
        <v>27707.08</v>
      </c>
      <c r="AY223" s="26">
        <f>11250+16467.5</f>
        <v>27717.5</v>
      </c>
      <c r="AZ223" s="26">
        <f aca="true" t="shared" si="45" ref="AZ223:BE223">11250+16467.5</f>
        <v>27717.5</v>
      </c>
      <c r="BA223" s="26">
        <f t="shared" si="45"/>
        <v>27717.5</v>
      </c>
      <c r="BB223" s="26">
        <f t="shared" si="45"/>
        <v>27717.5</v>
      </c>
      <c r="BC223" s="26">
        <f t="shared" si="45"/>
        <v>27717.5</v>
      </c>
      <c r="BD223" s="26">
        <f t="shared" si="45"/>
        <v>27717.5</v>
      </c>
      <c r="BE223" s="44">
        <f t="shared" si="45"/>
        <v>27717.5</v>
      </c>
      <c r="BF223" s="26">
        <f>SUM(AT223:BE223)</f>
        <v>332557.9</v>
      </c>
    </row>
    <row r="224" spans="3:58" ht="13.5" thickBot="1">
      <c r="C224" s="6" t="s">
        <v>77</v>
      </c>
      <c r="AT224" s="27">
        <f aca="true" t="shared" si="46" ref="AT224:BF224">SUM(AT221:AT223)</f>
        <v>28354.74</v>
      </c>
      <c r="AU224" s="27">
        <f t="shared" si="46"/>
        <v>28104.74</v>
      </c>
      <c r="AV224" s="27">
        <f t="shared" si="46"/>
        <v>28104.74</v>
      </c>
      <c r="AW224" s="27">
        <f t="shared" si="46"/>
        <v>28104.74</v>
      </c>
      <c r="AX224" s="27">
        <f t="shared" si="46"/>
        <v>28104.74</v>
      </c>
      <c r="AY224" s="27">
        <f t="shared" si="46"/>
        <v>28115.16</v>
      </c>
      <c r="AZ224" s="27">
        <f t="shared" si="46"/>
        <v>28104.36</v>
      </c>
      <c r="BA224" s="27">
        <f t="shared" si="46"/>
        <v>28104.36</v>
      </c>
      <c r="BB224" s="27">
        <f t="shared" si="46"/>
        <v>28104.36</v>
      </c>
      <c r="BC224" s="27">
        <f t="shared" si="46"/>
        <v>28104.36</v>
      </c>
      <c r="BD224" s="27">
        <f t="shared" si="46"/>
        <v>28104.36</v>
      </c>
      <c r="BE224" s="45">
        <f t="shared" si="46"/>
        <v>28104.36</v>
      </c>
      <c r="BF224" s="31">
        <f t="shared" si="46"/>
        <v>337515.02</v>
      </c>
    </row>
    <row r="225" ht="12.75">
      <c r="C225" s="12"/>
    </row>
    <row r="226" spans="1:3" ht="15.75">
      <c r="A226" s="1">
        <f>A220+1</f>
        <v>24</v>
      </c>
      <c r="C226" s="13" t="s">
        <v>78</v>
      </c>
    </row>
    <row r="227" spans="3:58" ht="12.75">
      <c r="C227" s="4" t="str">
        <f>C209</f>
        <v>Debt Reserve</v>
      </c>
      <c r="AT227" s="26">
        <v>0</v>
      </c>
      <c r="AU227" s="26">
        <v>0</v>
      </c>
      <c r="AV227" s="26">
        <v>0</v>
      </c>
      <c r="AW227" s="26">
        <v>0</v>
      </c>
      <c r="AX227" s="26">
        <v>0</v>
      </c>
      <c r="AY227" s="26">
        <v>0</v>
      </c>
      <c r="AZ227" s="26">
        <v>0</v>
      </c>
      <c r="BA227" s="26">
        <v>0</v>
      </c>
      <c r="BB227" s="26">
        <v>0</v>
      </c>
      <c r="BC227" s="26">
        <v>0</v>
      </c>
      <c r="BD227" s="26">
        <v>0</v>
      </c>
      <c r="BE227" s="44">
        <v>0</v>
      </c>
      <c r="BF227" s="26">
        <f>SUM(AT227:BE227)</f>
        <v>0</v>
      </c>
    </row>
    <row r="228" spans="3:58" ht="12.75">
      <c r="C228" s="4" t="str">
        <f>C210</f>
        <v>Treasury Fee</v>
      </c>
      <c r="AT228" s="32">
        <v>250</v>
      </c>
      <c r="BF228" s="26">
        <f>SUM(AT228:BE228)</f>
        <v>250</v>
      </c>
    </row>
    <row r="229" spans="3:58" ht="13.5" thickBot="1">
      <c r="C229" s="4" t="str">
        <f>C211</f>
        <v>Intercept</v>
      </c>
      <c r="AT229" s="26">
        <f>7083.33+21993.75</f>
        <v>29077.08</v>
      </c>
      <c r="AU229" s="26">
        <f>7083.33+21993.75</f>
        <v>29077.08</v>
      </c>
      <c r="AV229" s="26">
        <f>7083.33+21993.75</f>
        <v>29077.08</v>
      </c>
      <c r="AW229" s="26">
        <f>7083.33+21993.75</f>
        <v>29077.08</v>
      </c>
      <c r="AX229" s="26">
        <f>7083.33+21993.75</f>
        <v>29077.08</v>
      </c>
      <c r="AY229" s="26">
        <f>7500+21586.46</f>
        <v>29086.46</v>
      </c>
      <c r="AZ229" s="26">
        <f aca="true" t="shared" si="47" ref="AZ229:BE229">7500+21586.46</f>
        <v>29086.46</v>
      </c>
      <c r="BA229" s="26">
        <f t="shared" si="47"/>
        <v>29086.46</v>
      </c>
      <c r="BB229" s="26">
        <f t="shared" si="47"/>
        <v>29086.46</v>
      </c>
      <c r="BC229" s="26">
        <f t="shared" si="47"/>
        <v>29086.46</v>
      </c>
      <c r="BD229" s="26">
        <f t="shared" si="47"/>
        <v>29086.46</v>
      </c>
      <c r="BE229" s="44">
        <f t="shared" si="47"/>
        <v>29086.46</v>
      </c>
      <c r="BF229" s="26">
        <f>SUM(AT229:BE229)</f>
        <v>348990.62000000005</v>
      </c>
    </row>
    <row r="230" spans="3:58" ht="13.5" thickBot="1">
      <c r="C230" s="14" t="s">
        <v>79</v>
      </c>
      <c r="AT230" s="27">
        <f aca="true" t="shared" si="48" ref="AT230:BF230">SUM(AT227:AT229)</f>
        <v>29327.08</v>
      </c>
      <c r="AU230" s="27">
        <f t="shared" si="48"/>
        <v>29077.08</v>
      </c>
      <c r="AV230" s="27">
        <f t="shared" si="48"/>
        <v>29077.08</v>
      </c>
      <c r="AW230" s="27">
        <f t="shared" si="48"/>
        <v>29077.08</v>
      </c>
      <c r="AX230" s="27">
        <f t="shared" si="48"/>
        <v>29077.08</v>
      </c>
      <c r="AY230" s="27">
        <f t="shared" si="48"/>
        <v>29086.46</v>
      </c>
      <c r="AZ230" s="27">
        <f t="shared" si="48"/>
        <v>29086.46</v>
      </c>
      <c r="BA230" s="27">
        <f t="shared" si="48"/>
        <v>29086.46</v>
      </c>
      <c r="BB230" s="27">
        <f t="shared" si="48"/>
        <v>29086.46</v>
      </c>
      <c r="BC230" s="27">
        <f t="shared" si="48"/>
        <v>29086.46</v>
      </c>
      <c r="BD230" s="27">
        <f t="shared" si="48"/>
        <v>29086.46</v>
      </c>
      <c r="BE230" s="45">
        <f t="shared" si="48"/>
        <v>29086.46</v>
      </c>
      <c r="BF230" s="31">
        <f t="shared" si="48"/>
        <v>349240.62000000005</v>
      </c>
    </row>
    <row r="231" ht="12.75">
      <c r="C231" s="12"/>
    </row>
    <row r="232" spans="1:3" ht="15.75">
      <c r="A232" s="1">
        <f>A226+1</f>
        <v>25</v>
      </c>
      <c r="C232" s="13" t="s">
        <v>80</v>
      </c>
    </row>
    <row r="233" spans="3:58" ht="12.75">
      <c r="C233" s="4" t="str">
        <f>C221</f>
        <v>Debt Reserve</v>
      </c>
      <c r="AT233" s="26">
        <v>1196.67</v>
      </c>
      <c r="AU233" s="26">
        <v>1196.67</v>
      </c>
      <c r="AV233" s="26">
        <v>1196.67</v>
      </c>
      <c r="AW233" s="26">
        <v>1196.67</v>
      </c>
      <c r="AX233" s="26">
        <v>1196.67</v>
      </c>
      <c r="AY233" s="26">
        <v>1196.67</v>
      </c>
      <c r="AZ233" s="26">
        <v>1196.67</v>
      </c>
      <c r="BA233" s="26">
        <v>1196.67</v>
      </c>
      <c r="BB233" s="26">
        <v>1196.67</v>
      </c>
      <c r="BC233" s="26">
        <v>1168.75</v>
      </c>
      <c r="BD233" s="26">
        <v>1168.75</v>
      </c>
      <c r="BE233" s="44">
        <v>1168.75</v>
      </c>
      <c r="BF233" s="26">
        <f>SUM(AT233:BE233)</f>
        <v>14276.28</v>
      </c>
    </row>
    <row r="234" spans="3:58" ht="12.75">
      <c r="C234" s="4" t="str">
        <f>C222</f>
        <v>Treasury Fee</v>
      </c>
      <c r="AT234" s="32">
        <v>250</v>
      </c>
      <c r="BF234" s="26">
        <f>SUM(AT234:BE234)</f>
        <v>250</v>
      </c>
    </row>
    <row r="235" spans="3:58" ht="13.5" thickBot="1">
      <c r="C235" s="4" t="str">
        <f>C223</f>
        <v>Intercept</v>
      </c>
      <c r="AT235" s="26">
        <f>27916.67+52046.36</f>
        <v>79963.03</v>
      </c>
      <c r="AU235" s="26">
        <f>28750+50929.69</f>
        <v>79679.69</v>
      </c>
      <c r="AV235" s="26">
        <f aca="true" t="shared" si="49" ref="AV235:BE235">28750+50929.69</f>
        <v>79679.69</v>
      </c>
      <c r="AW235" s="26">
        <f t="shared" si="49"/>
        <v>79679.69</v>
      </c>
      <c r="AX235" s="26">
        <f t="shared" si="49"/>
        <v>79679.69</v>
      </c>
      <c r="AY235" s="26">
        <f t="shared" si="49"/>
        <v>79679.69</v>
      </c>
      <c r="AZ235" s="26">
        <f t="shared" si="49"/>
        <v>79679.69</v>
      </c>
      <c r="BA235" s="26">
        <f t="shared" si="49"/>
        <v>79679.69</v>
      </c>
      <c r="BB235" s="26">
        <f t="shared" si="49"/>
        <v>79679.69</v>
      </c>
      <c r="BC235" s="26">
        <f t="shared" si="49"/>
        <v>79679.69</v>
      </c>
      <c r="BD235" s="26">
        <f t="shared" si="49"/>
        <v>79679.69</v>
      </c>
      <c r="BE235" s="44">
        <f t="shared" si="49"/>
        <v>79679.69</v>
      </c>
      <c r="BF235" s="26">
        <f>SUM(AT235:BE235)</f>
        <v>956439.6199999996</v>
      </c>
    </row>
    <row r="236" spans="3:58" ht="13.5" thickBot="1">
      <c r="C236" s="14" t="s">
        <v>81</v>
      </c>
      <c r="AT236" s="27">
        <f aca="true" t="shared" si="50" ref="AT236:BF236">SUM(AT233:AT235)</f>
        <v>81409.7</v>
      </c>
      <c r="AU236" s="27">
        <f t="shared" si="50"/>
        <v>80876.36</v>
      </c>
      <c r="AV236" s="27">
        <f t="shared" si="50"/>
        <v>80876.36</v>
      </c>
      <c r="AW236" s="27">
        <f t="shared" si="50"/>
        <v>80876.36</v>
      </c>
      <c r="AX236" s="27">
        <f t="shared" si="50"/>
        <v>80876.36</v>
      </c>
      <c r="AY236" s="27">
        <f t="shared" si="50"/>
        <v>80876.36</v>
      </c>
      <c r="AZ236" s="27">
        <f t="shared" si="50"/>
        <v>80876.36</v>
      </c>
      <c r="BA236" s="27">
        <f t="shared" si="50"/>
        <v>80876.36</v>
      </c>
      <c r="BB236" s="27">
        <f t="shared" si="50"/>
        <v>80876.36</v>
      </c>
      <c r="BC236" s="27">
        <f t="shared" si="50"/>
        <v>80848.44</v>
      </c>
      <c r="BD236" s="27">
        <f t="shared" si="50"/>
        <v>80848.44</v>
      </c>
      <c r="BE236" s="45">
        <f t="shared" si="50"/>
        <v>80848.44</v>
      </c>
      <c r="BF236" s="31">
        <f t="shared" si="50"/>
        <v>970965.8999999997</v>
      </c>
    </row>
    <row r="237" ht="12.75">
      <c r="C237" s="12"/>
    </row>
    <row r="238" spans="1:3" ht="15.75">
      <c r="A238" s="1">
        <f>A232+1</f>
        <v>26</v>
      </c>
      <c r="C238" s="13" t="s">
        <v>82</v>
      </c>
    </row>
    <row r="239" spans="3:58" ht="12.75">
      <c r="C239" s="4" t="str">
        <f>C227</f>
        <v>Debt Reserve</v>
      </c>
      <c r="AT239" s="26">
        <v>685</v>
      </c>
      <c r="AU239" s="26">
        <v>685</v>
      </c>
      <c r="AV239" s="26">
        <v>685</v>
      </c>
      <c r="AW239" s="26">
        <v>685</v>
      </c>
      <c r="AX239" s="26">
        <v>685</v>
      </c>
      <c r="AY239" s="26">
        <v>685</v>
      </c>
      <c r="AZ239" s="26">
        <v>685</v>
      </c>
      <c r="BA239" s="26">
        <v>685</v>
      </c>
      <c r="BB239" s="26">
        <v>685</v>
      </c>
      <c r="BC239" s="26">
        <v>685</v>
      </c>
      <c r="BD239" s="26">
        <v>685</v>
      </c>
      <c r="BE239" s="44">
        <v>668.33</v>
      </c>
      <c r="BF239" s="26">
        <f>SUM(AT239:BE239)</f>
        <v>8203.33</v>
      </c>
    </row>
    <row r="240" spans="3:58" ht="12.75">
      <c r="C240" s="4" t="str">
        <f>C228</f>
        <v>Treasury Fee</v>
      </c>
      <c r="AT240" s="32">
        <v>250</v>
      </c>
      <c r="BF240" s="26">
        <f>SUM(AT240:BE240)</f>
        <v>250</v>
      </c>
    </row>
    <row r="241" spans="3:58" ht="13.5" thickBot="1">
      <c r="C241" s="4" t="str">
        <f>C229</f>
        <v>Intercept</v>
      </c>
      <c r="AT241" s="26">
        <f aca="true" t="shared" si="51" ref="AT241:BA241">16666.67+30701.77</f>
        <v>47368.44</v>
      </c>
      <c r="AU241" s="26">
        <f t="shared" si="51"/>
        <v>47368.44</v>
      </c>
      <c r="AV241" s="26">
        <f t="shared" si="51"/>
        <v>47368.44</v>
      </c>
      <c r="AW241" s="26">
        <f t="shared" si="51"/>
        <v>47368.44</v>
      </c>
      <c r="AX241" s="26">
        <f t="shared" si="51"/>
        <v>47368.44</v>
      </c>
      <c r="AY241" s="26">
        <f t="shared" si="51"/>
        <v>47368.44</v>
      </c>
      <c r="AZ241" s="26">
        <f t="shared" si="51"/>
        <v>47368.44</v>
      </c>
      <c r="BA241" s="26">
        <f t="shared" si="51"/>
        <v>47368.44</v>
      </c>
      <c r="BB241" s="26">
        <f>17500+30035.11</f>
        <v>47535.11</v>
      </c>
      <c r="BC241" s="26">
        <f>17500+30035.11</f>
        <v>47535.11</v>
      </c>
      <c r="BD241" s="26">
        <f>17500+30035.11</f>
        <v>47535.11</v>
      </c>
      <c r="BE241" s="44">
        <f>17500+30035.11</f>
        <v>47535.11</v>
      </c>
      <c r="BF241" s="26">
        <f>SUM(AT241:BE241)</f>
        <v>569087.96</v>
      </c>
    </row>
    <row r="242" spans="3:58" ht="13.5" thickBot="1">
      <c r="C242" s="14" t="s">
        <v>83</v>
      </c>
      <c r="AT242" s="27">
        <f aca="true" t="shared" si="52" ref="AT242:BF242">SUM(AT239:AT241)</f>
        <v>48303.44</v>
      </c>
      <c r="AU242" s="27">
        <f t="shared" si="52"/>
        <v>48053.44</v>
      </c>
      <c r="AV242" s="27">
        <f t="shared" si="52"/>
        <v>48053.44</v>
      </c>
      <c r="AW242" s="27">
        <f t="shared" si="52"/>
        <v>48053.44</v>
      </c>
      <c r="AX242" s="27">
        <f t="shared" si="52"/>
        <v>48053.44</v>
      </c>
      <c r="AY242" s="27">
        <f t="shared" si="52"/>
        <v>48053.44</v>
      </c>
      <c r="AZ242" s="27">
        <f t="shared" si="52"/>
        <v>48053.44</v>
      </c>
      <c r="BA242" s="27">
        <f t="shared" si="52"/>
        <v>48053.44</v>
      </c>
      <c r="BB242" s="27">
        <f t="shared" si="52"/>
        <v>48220.11</v>
      </c>
      <c r="BC242" s="27">
        <f t="shared" si="52"/>
        <v>48220.11</v>
      </c>
      <c r="BD242" s="27">
        <f t="shared" si="52"/>
        <v>48220.11</v>
      </c>
      <c r="BE242" s="45">
        <f t="shared" si="52"/>
        <v>48203.44</v>
      </c>
      <c r="BF242" s="31">
        <f t="shared" si="52"/>
        <v>577541.2899999999</v>
      </c>
    </row>
    <row r="243" ht="12.75">
      <c r="C243" s="12"/>
    </row>
    <row r="244" spans="1:3" ht="15.75">
      <c r="A244" s="1" t="s">
        <v>193</v>
      </c>
      <c r="C244" s="13" t="s">
        <v>84</v>
      </c>
    </row>
    <row r="245" spans="3:58" ht="12.75">
      <c r="C245" s="4" t="str">
        <f>C239</f>
        <v>Debt Reserve</v>
      </c>
      <c r="AT245" s="26">
        <v>478.54</v>
      </c>
      <c r="AU245" s="26">
        <v>478.54</v>
      </c>
      <c r="AV245" s="26">
        <v>478.54</v>
      </c>
      <c r="AW245" s="26">
        <v>478.54</v>
      </c>
      <c r="AX245" s="26">
        <v>478.54</v>
      </c>
      <c r="AY245" s="26">
        <v>478.54</v>
      </c>
      <c r="AZ245" s="26">
        <v>478.54</v>
      </c>
      <c r="BA245" s="26">
        <v>478.54</v>
      </c>
      <c r="BB245" s="26">
        <v>478.54</v>
      </c>
      <c r="BC245" s="26">
        <v>478.54</v>
      </c>
      <c r="BD245" s="26">
        <v>478.54</v>
      </c>
      <c r="BE245" s="44">
        <v>478.54</v>
      </c>
      <c r="BF245" s="26">
        <f>SUM(AT245:BE245)</f>
        <v>5742.4800000000005</v>
      </c>
    </row>
    <row r="246" spans="3:58" ht="12.75">
      <c r="C246" s="4" t="str">
        <f>C240</f>
        <v>Treasury Fee</v>
      </c>
      <c r="AT246" s="32">
        <v>83.33</v>
      </c>
      <c r="BF246" s="26">
        <f>SUM(AT246:BE246)</f>
        <v>83.33</v>
      </c>
    </row>
    <row r="247" spans="3:58" ht="13.5" thickBot="1">
      <c r="C247" s="4" t="str">
        <f>C241</f>
        <v>Intercept</v>
      </c>
      <c r="AT247" s="26">
        <f>10625+23235.94</f>
        <v>33860.94</v>
      </c>
      <c r="AU247" s="26">
        <f aca="true" t="shared" si="53" ref="AU247:BE247">10625+23235.94</f>
        <v>33860.94</v>
      </c>
      <c r="AV247" s="26">
        <f t="shared" si="53"/>
        <v>33860.94</v>
      </c>
      <c r="AW247" s="26">
        <f t="shared" si="53"/>
        <v>33860.94</v>
      </c>
      <c r="AX247" s="26">
        <f t="shared" si="53"/>
        <v>33860.94</v>
      </c>
      <c r="AY247" s="26">
        <f t="shared" si="53"/>
        <v>33860.94</v>
      </c>
      <c r="AZ247" s="26">
        <f t="shared" si="53"/>
        <v>33860.94</v>
      </c>
      <c r="BA247" s="26">
        <f t="shared" si="53"/>
        <v>33860.94</v>
      </c>
      <c r="BB247" s="26">
        <f t="shared" si="53"/>
        <v>33860.94</v>
      </c>
      <c r="BC247" s="26">
        <f t="shared" si="53"/>
        <v>33860.94</v>
      </c>
      <c r="BD247" s="26">
        <f t="shared" si="53"/>
        <v>33860.94</v>
      </c>
      <c r="BE247" s="44">
        <f t="shared" si="53"/>
        <v>33860.94</v>
      </c>
      <c r="BF247" s="26">
        <f>SUM(AT247:BE247)</f>
        <v>406331.28</v>
      </c>
    </row>
    <row r="248" spans="3:58" ht="13.5" thickBot="1">
      <c r="C248" s="6" t="s">
        <v>30</v>
      </c>
      <c r="AT248" s="27">
        <f aca="true" t="shared" si="54" ref="AT248:BF248">SUM(AT245:AT247)</f>
        <v>34422.810000000005</v>
      </c>
      <c r="AU248" s="27">
        <f t="shared" si="54"/>
        <v>34339.48</v>
      </c>
      <c r="AV248" s="27">
        <f t="shared" si="54"/>
        <v>34339.48</v>
      </c>
      <c r="AW248" s="27">
        <f t="shared" si="54"/>
        <v>34339.48</v>
      </c>
      <c r="AX248" s="27">
        <f t="shared" si="54"/>
        <v>34339.48</v>
      </c>
      <c r="AY248" s="27">
        <f t="shared" si="54"/>
        <v>34339.48</v>
      </c>
      <c r="AZ248" s="27">
        <f t="shared" si="54"/>
        <v>34339.48</v>
      </c>
      <c r="BA248" s="27">
        <f t="shared" si="54"/>
        <v>34339.48</v>
      </c>
      <c r="BB248" s="27">
        <f t="shared" si="54"/>
        <v>34339.48</v>
      </c>
      <c r="BC248" s="27">
        <f t="shared" si="54"/>
        <v>34339.48</v>
      </c>
      <c r="BD248" s="27">
        <f t="shared" si="54"/>
        <v>34339.48</v>
      </c>
      <c r="BE248" s="45">
        <f t="shared" si="54"/>
        <v>34339.48</v>
      </c>
      <c r="BF248" s="31">
        <f t="shared" si="54"/>
        <v>412157.09</v>
      </c>
    </row>
    <row r="249" ht="12.75">
      <c r="C249" s="12"/>
    </row>
    <row r="250" spans="1:3" ht="15.75">
      <c r="A250" s="1" t="s">
        <v>194</v>
      </c>
      <c r="C250" s="13" t="s">
        <v>85</v>
      </c>
    </row>
    <row r="251" spans="3:58" ht="12.75">
      <c r="C251" s="4" t="str">
        <f>C245</f>
        <v>Debt Reserve</v>
      </c>
      <c r="AT251" s="26">
        <v>478.54</v>
      </c>
      <c r="AU251" s="26">
        <v>478.54</v>
      </c>
      <c r="AV251" s="26">
        <v>478.54</v>
      </c>
      <c r="AW251" s="26">
        <v>478.54</v>
      </c>
      <c r="AX251" s="26">
        <v>478.54</v>
      </c>
      <c r="AY251" s="26">
        <v>478.54</v>
      </c>
      <c r="AZ251" s="26">
        <v>478.54</v>
      </c>
      <c r="BA251" s="26">
        <v>478.54</v>
      </c>
      <c r="BB251" s="26">
        <v>478.54</v>
      </c>
      <c r="BC251" s="26">
        <v>478.54</v>
      </c>
      <c r="BD251" s="26">
        <v>478.54</v>
      </c>
      <c r="BE251" s="44">
        <v>478.54</v>
      </c>
      <c r="BF251" s="26">
        <f>SUM(AT251:BE251)</f>
        <v>5742.4800000000005</v>
      </c>
    </row>
    <row r="252" spans="3:58" ht="12.75">
      <c r="C252" s="4" t="str">
        <f>C246</f>
        <v>Treasury Fee</v>
      </c>
      <c r="AT252" s="32">
        <v>83.33</v>
      </c>
      <c r="BF252" s="26">
        <f>SUM(AT252:BE252)</f>
        <v>83.33</v>
      </c>
    </row>
    <row r="253" spans="3:58" ht="13.5" thickBot="1">
      <c r="C253" s="4" t="str">
        <f>C247</f>
        <v>Intercept</v>
      </c>
      <c r="AT253" s="26">
        <f>10625+23235.94</f>
        <v>33860.94</v>
      </c>
      <c r="AU253" s="26">
        <f aca="true" t="shared" si="55" ref="AU253:BE253">10625+23235.94</f>
        <v>33860.94</v>
      </c>
      <c r="AV253" s="26">
        <f t="shared" si="55"/>
        <v>33860.94</v>
      </c>
      <c r="AW253" s="26">
        <f t="shared" si="55"/>
        <v>33860.94</v>
      </c>
      <c r="AX253" s="26">
        <f t="shared" si="55"/>
        <v>33860.94</v>
      </c>
      <c r="AY253" s="26">
        <f t="shared" si="55"/>
        <v>33860.94</v>
      </c>
      <c r="AZ253" s="26">
        <f t="shared" si="55"/>
        <v>33860.94</v>
      </c>
      <c r="BA253" s="26">
        <f t="shared" si="55"/>
        <v>33860.94</v>
      </c>
      <c r="BB253" s="26">
        <f t="shared" si="55"/>
        <v>33860.94</v>
      </c>
      <c r="BC253" s="26">
        <f t="shared" si="55"/>
        <v>33860.94</v>
      </c>
      <c r="BD253" s="26">
        <f t="shared" si="55"/>
        <v>33860.94</v>
      </c>
      <c r="BE253" s="44">
        <f t="shared" si="55"/>
        <v>33860.94</v>
      </c>
      <c r="BF253" s="26">
        <f>SUM(AT253:BE253)</f>
        <v>406331.28</v>
      </c>
    </row>
    <row r="254" spans="3:58" ht="13.5" thickBot="1">
      <c r="C254" s="6" t="s">
        <v>32</v>
      </c>
      <c r="AT254" s="27">
        <f aca="true" t="shared" si="56" ref="AT254:BF254">SUM(AT251:AT253)</f>
        <v>34422.810000000005</v>
      </c>
      <c r="AU254" s="27">
        <f t="shared" si="56"/>
        <v>34339.48</v>
      </c>
      <c r="AV254" s="27">
        <f t="shared" si="56"/>
        <v>34339.48</v>
      </c>
      <c r="AW254" s="27">
        <f t="shared" si="56"/>
        <v>34339.48</v>
      </c>
      <c r="AX254" s="27">
        <f t="shared" si="56"/>
        <v>34339.48</v>
      </c>
      <c r="AY254" s="27">
        <f t="shared" si="56"/>
        <v>34339.48</v>
      </c>
      <c r="AZ254" s="27">
        <f t="shared" si="56"/>
        <v>34339.48</v>
      </c>
      <c r="BA254" s="27">
        <f t="shared" si="56"/>
        <v>34339.48</v>
      </c>
      <c r="BB254" s="27">
        <f t="shared" si="56"/>
        <v>34339.48</v>
      </c>
      <c r="BC254" s="27">
        <f t="shared" si="56"/>
        <v>34339.48</v>
      </c>
      <c r="BD254" s="27">
        <f t="shared" si="56"/>
        <v>34339.48</v>
      </c>
      <c r="BE254" s="45">
        <f t="shared" si="56"/>
        <v>34339.48</v>
      </c>
      <c r="BF254" s="31">
        <f t="shared" si="56"/>
        <v>412157.09</v>
      </c>
    </row>
    <row r="255" ht="12.75">
      <c r="C255" s="12"/>
    </row>
    <row r="256" spans="1:3" ht="15.75">
      <c r="A256" s="1" t="s">
        <v>195</v>
      </c>
      <c r="C256" s="13" t="s">
        <v>86</v>
      </c>
    </row>
    <row r="257" spans="3:58" ht="12.75">
      <c r="C257" s="4" t="str">
        <f>C251</f>
        <v>Debt Reserve</v>
      </c>
      <c r="AT257" s="26">
        <v>635</v>
      </c>
      <c r="AU257" s="26">
        <v>635</v>
      </c>
      <c r="AV257" s="26">
        <v>635</v>
      </c>
      <c r="AW257" s="26">
        <v>635</v>
      </c>
      <c r="AX257" s="26">
        <v>635</v>
      </c>
      <c r="AY257" s="26">
        <v>635</v>
      </c>
      <c r="AZ257" s="26">
        <v>635</v>
      </c>
      <c r="BA257" s="26">
        <v>635</v>
      </c>
      <c r="BB257" s="26">
        <v>635</v>
      </c>
      <c r="BC257" s="26">
        <v>635</v>
      </c>
      <c r="BD257" s="26">
        <v>635</v>
      </c>
      <c r="BE257" s="44">
        <v>635</v>
      </c>
      <c r="BF257" s="26">
        <f>SUM(AT257:BE257)</f>
        <v>7620</v>
      </c>
    </row>
    <row r="258" spans="3:58" ht="12.75">
      <c r="C258" s="4" t="str">
        <f>C252</f>
        <v>Treasury Fee</v>
      </c>
      <c r="AT258" s="32">
        <v>83.33</v>
      </c>
      <c r="BF258" s="26">
        <f>SUM(AT258:BE258)</f>
        <v>83.33</v>
      </c>
    </row>
    <row r="259" spans="3:58" ht="13.5" thickBot="1">
      <c r="C259" s="4" t="str">
        <f>C253</f>
        <v>Intercept</v>
      </c>
      <c r="AT259" s="26">
        <f>14166.67+30835.94</f>
        <v>45002.61</v>
      </c>
      <c r="AU259" s="26">
        <f>14166.67+30835.94</f>
        <v>45002.61</v>
      </c>
      <c r="AV259" s="26">
        <f aca="true" t="shared" si="57" ref="AV259:BE259">14166.67+30835.94</f>
        <v>45002.61</v>
      </c>
      <c r="AW259" s="26">
        <f t="shared" si="57"/>
        <v>45002.61</v>
      </c>
      <c r="AX259" s="26">
        <f t="shared" si="57"/>
        <v>45002.61</v>
      </c>
      <c r="AY259" s="26">
        <f t="shared" si="57"/>
        <v>45002.61</v>
      </c>
      <c r="AZ259" s="26">
        <f t="shared" si="57"/>
        <v>45002.61</v>
      </c>
      <c r="BA259" s="26">
        <f t="shared" si="57"/>
        <v>45002.61</v>
      </c>
      <c r="BB259" s="26">
        <f t="shared" si="57"/>
        <v>45002.61</v>
      </c>
      <c r="BC259" s="26">
        <f t="shared" si="57"/>
        <v>45002.61</v>
      </c>
      <c r="BD259" s="26">
        <f t="shared" si="57"/>
        <v>45002.61</v>
      </c>
      <c r="BE259" s="44">
        <f t="shared" si="57"/>
        <v>45002.61</v>
      </c>
      <c r="BF259" s="26">
        <f>SUM(AT259:BE259)</f>
        <v>540031.32</v>
      </c>
    </row>
    <row r="260" spans="3:58" ht="13.5" thickBot="1">
      <c r="C260" s="14" t="s">
        <v>87</v>
      </c>
      <c r="AT260" s="27">
        <f aca="true" t="shared" si="58" ref="AT260:BF260">SUM(AT257:AT259)</f>
        <v>45720.94</v>
      </c>
      <c r="AU260" s="27">
        <f t="shared" si="58"/>
        <v>45637.61</v>
      </c>
      <c r="AV260" s="27">
        <f t="shared" si="58"/>
        <v>45637.61</v>
      </c>
      <c r="AW260" s="27">
        <f t="shared" si="58"/>
        <v>45637.61</v>
      </c>
      <c r="AX260" s="27">
        <f t="shared" si="58"/>
        <v>45637.61</v>
      </c>
      <c r="AY260" s="27">
        <f t="shared" si="58"/>
        <v>45637.61</v>
      </c>
      <c r="AZ260" s="27">
        <f t="shared" si="58"/>
        <v>45637.61</v>
      </c>
      <c r="BA260" s="27">
        <f t="shared" si="58"/>
        <v>45637.61</v>
      </c>
      <c r="BB260" s="27">
        <f t="shared" si="58"/>
        <v>45637.61</v>
      </c>
      <c r="BC260" s="27">
        <f t="shared" si="58"/>
        <v>45637.61</v>
      </c>
      <c r="BD260" s="27">
        <f t="shared" si="58"/>
        <v>45637.61</v>
      </c>
      <c r="BE260" s="45">
        <f t="shared" si="58"/>
        <v>45637.61</v>
      </c>
      <c r="BF260" s="31">
        <f t="shared" si="58"/>
        <v>547734.6499999999</v>
      </c>
    </row>
    <row r="261" ht="12.75">
      <c r="C261" s="15"/>
    </row>
    <row r="262" spans="1:3" ht="21">
      <c r="A262" s="16"/>
      <c r="B262" s="7" t="s">
        <v>108</v>
      </c>
      <c r="C262" s="40" t="s">
        <v>89</v>
      </c>
    </row>
    <row r="263" ht="12.75">
      <c r="C263" s="4" t="str">
        <f>C257</f>
        <v>Debt Reserve</v>
      </c>
    </row>
    <row r="264" ht="12.75">
      <c r="C264" s="4" t="str">
        <f>C258</f>
        <v>Treasury Fee</v>
      </c>
    </row>
    <row r="265" ht="13.5" thickBot="1">
      <c r="C265" s="4" t="str">
        <f>C259</f>
        <v>Intercept</v>
      </c>
    </row>
    <row r="266" ht="13.5" thickBot="1">
      <c r="C266" s="14" t="s">
        <v>90</v>
      </c>
    </row>
    <row r="267" ht="12.75">
      <c r="C267" s="15"/>
    </row>
    <row r="268" spans="1:3" ht="15.75">
      <c r="A268" s="16">
        <v>28</v>
      </c>
      <c r="C268" s="13" t="s">
        <v>92</v>
      </c>
    </row>
    <row r="269" spans="3:58" ht="12.75">
      <c r="C269" s="4" t="str">
        <f>C263</f>
        <v>Debt Reserve</v>
      </c>
      <c r="AT269" s="26">
        <v>0</v>
      </c>
      <c r="AU269" s="26">
        <v>0</v>
      </c>
      <c r="AV269" s="26">
        <v>0</v>
      </c>
      <c r="AW269" s="26">
        <v>0</v>
      </c>
      <c r="AX269" s="26">
        <v>0</v>
      </c>
      <c r="AY269" s="26">
        <v>0</v>
      </c>
      <c r="AZ269" s="26">
        <v>0</v>
      </c>
      <c r="BA269" s="26">
        <v>0</v>
      </c>
      <c r="BB269" s="26">
        <v>0</v>
      </c>
      <c r="BC269" s="26">
        <v>0</v>
      </c>
      <c r="BD269" s="26">
        <v>0</v>
      </c>
      <c r="BE269" s="44">
        <v>0</v>
      </c>
      <c r="BF269" s="26">
        <f>SUM(AT269:BE269)</f>
        <v>0</v>
      </c>
    </row>
    <row r="270" spans="3:58" ht="12.75">
      <c r="C270" s="4" t="str">
        <f>C264</f>
        <v>Treasury Fee</v>
      </c>
      <c r="AT270" s="32">
        <v>250</v>
      </c>
      <c r="BF270" s="26">
        <f>SUM(AT270:BE270)</f>
        <v>250</v>
      </c>
    </row>
    <row r="271" spans="3:58" ht="13.5" thickBot="1">
      <c r="C271" s="4" t="str">
        <f>C265</f>
        <v>Intercept</v>
      </c>
      <c r="AT271" s="26">
        <f aca="true" t="shared" si="59" ref="AT271:BC271">10833.33+30210</f>
        <v>41043.33</v>
      </c>
      <c r="AU271" s="26">
        <f t="shared" si="59"/>
        <v>41043.33</v>
      </c>
      <c r="AV271" s="26">
        <f t="shared" si="59"/>
        <v>41043.33</v>
      </c>
      <c r="AW271" s="26">
        <f t="shared" si="59"/>
        <v>41043.33</v>
      </c>
      <c r="AX271" s="26">
        <f t="shared" si="59"/>
        <v>41043.33</v>
      </c>
      <c r="AY271" s="26">
        <f t="shared" si="59"/>
        <v>41043.33</v>
      </c>
      <c r="AZ271" s="26">
        <f t="shared" si="59"/>
        <v>41043.33</v>
      </c>
      <c r="BA271" s="26">
        <f t="shared" si="59"/>
        <v>41043.33</v>
      </c>
      <c r="BB271" s="26">
        <f t="shared" si="59"/>
        <v>41043.33</v>
      </c>
      <c r="BC271" s="26">
        <f t="shared" si="59"/>
        <v>41043.33</v>
      </c>
      <c r="BD271" s="26">
        <f>11250+29592.5</f>
        <v>40842.5</v>
      </c>
      <c r="BE271" s="44">
        <f>11250+29592.5</f>
        <v>40842.5</v>
      </c>
      <c r="BF271" s="26">
        <f>SUM(AT271:BE271)</f>
        <v>492118.3000000001</v>
      </c>
    </row>
    <row r="272" spans="3:58" ht="13.5" thickBot="1">
      <c r="C272" s="14" t="s">
        <v>93</v>
      </c>
      <c r="AT272" s="27">
        <f aca="true" t="shared" si="60" ref="AT272:BF272">SUM(AT269:AT271)</f>
        <v>41293.33</v>
      </c>
      <c r="AU272" s="27">
        <f t="shared" si="60"/>
        <v>41043.33</v>
      </c>
      <c r="AV272" s="27">
        <f t="shared" si="60"/>
        <v>41043.33</v>
      </c>
      <c r="AW272" s="27">
        <f t="shared" si="60"/>
        <v>41043.33</v>
      </c>
      <c r="AX272" s="27">
        <f t="shared" si="60"/>
        <v>41043.33</v>
      </c>
      <c r="AY272" s="27">
        <f t="shared" si="60"/>
        <v>41043.33</v>
      </c>
      <c r="AZ272" s="27">
        <f t="shared" si="60"/>
        <v>41043.33</v>
      </c>
      <c r="BA272" s="27">
        <f t="shared" si="60"/>
        <v>41043.33</v>
      </c>
      <c r="BB272" s="27">
        <f t="shared" si="60"/>
        <v>41043.33</v>
      </c>
      <c r="BC272" s="27">
        <f t="shared" si="60"/>
        <v>41043.33</v>
      </c>
      <c r="BD272" s="27">
        <f t="shared" si="60"/>
        <v>40842.5</v>
      </c>
      <c r="BE272" s="45">
        <f t="shared" si="60"/>
        <v>40842.5</v>
      </c>
      <c r="BF272" s="31">
        <f t="shared" si="60"/>
        <v>492368.3000000001</v>
      </c>
    </row>
    <row r="273" ht="12.75">
      <c r="C273" s="15"/>
    </row>
    <row r="274" spans="1:3" ht="15.75">
      <c r="A274" s="16">
        <f>+A268+1</f>
        <v>29</v>
      </c>
      <c r="C274" s="13" t="s">
        <v>94</v>
      </c>
    </row>
    <row r="275" spans="3:58" ht="12.75">
      <c r="C275" s="4" t="str">
        <f>C269</f>
        <v>Debt Reserve</v>
      </c>
      <c r="AT275" s="26">
        <v>0</v>
      </c>
      <c r="AU275" s="26">
        <v>0</v>
      </c>
      <c r="AV275" s="26">
        <v>0</v>
      </c>
      <c r="AW275" s="26">
        <v>0</v>
      </c>
      <c r="AX275" s="26">
        <v>0</v>
      </c>
      <c r="AY275" s="26">
        <v>0</v>
      </c>
      <c r="AZ275" s="26">
        <v>0</v>
      </c>
      <c r="BA275" s="26">
        <v>0</v>
      </c>
      <c r="BB275" s="26">
        <v>0</v>
      </c>
      <c r="BC275" s="26">
        <v>0</v>
      </c>
      <c r="BD275" s="26">
        <v>0</v>
      </c>
      <c r="BE275" s="44">
        <v>0</v>
      </c>
      <c r="BF275" s="26">
        <f>SUM(AT275:BE275)</f>
        <v>0</v>
      </c>
    </row>
    <row r="276" spans="3:58" ht="12.75">
      <c r="C276" s="4" t="str">
        <f>C270</f>
        <v>Treasury Fee</v>
      </c>
      <c r="AT276" s="32">
        <v>250</v>
      </c>
      <c r="BF276" s="26">
        <f>SUM(AT276:BE276)</f>
        <v>250</v>
      </c>
    </row>
    <row r="277" spans="3:58" ht="13.5" thickBot="1">
      <c r="C277" s="4" t="str">
        <f>C271</f>
        <v>Intercept</v>
      </c>
      <c r="AT277" s="26">
        <f aca="true" t="shared" si="61" ref="AT277:BC277">2500+11750</f>
        <v>14250</v>
      </c>
      <c r="AU277" s="26">
        <f t="shared" si="61"/>
        <v>14250</v>
      </c>
      <c r="AV277" s="26">
        <f t="shared" si="61"/>
        <v>14250</v>
      </c>
      <c r="AW277" s="26">
        <f t="shared" si="61"/>
        <v>14250</v>
      </c>
      <c r="AX277" s="26">
        <f t="shared" si="61"/>
        <v>14250</v>
      </c>
      <c r="AY277" s="26">
        <f t="shared" si="61"/>
        <v>14250</v>
      </c>
      <c r="AZ277" s="26">
        <f t="shared" si="61"/>
        <v>14250</v>
      </c>
      <c r="BA277" s="26">
        <f t="shared" si="61"/>
        <v>14250</v>
      </c>
      <c r="BB277" s="26">
        <f t="shared" si="61"/>
        <v>14250</v>
      </c>
      <c r="BC277" s="26">
        <f t="shared" si="61"/>
        <v>14250</v>
      </c>
      <c r="BD277" s="26">
        <f>2500+11562.5</f>
        <v>14062.5</v>
      </c>
      <c r="BE277" s="44">
        <f>2500+11562.5</f>
        <v>14062.5</v>
      </c>
      <c r="BF277" s="26">
        <f>SUM(AT277:BE277)</f>
        <v>170625</v>
      </c>
    </row>
    <row r="278" spans="3:58" ht="13.5" thickBot="1">
      <c r="C278" s="14" t="s">
        <v>95</v>
      </c>
      <c r="AT278" s="27">
        <f aca="true" t="shared" si="62" ref="AT278:BF278">SUM(AT275:AT277)</f>
        <v>14500</v>
      </c>
      <c r="AU278" s="27">
        <f t="shared" si="62"/>
        <v>14250</v>
      </c>
      <c r="AV278" s="27">
        <f t="shared" si="62"/>
        <v>14250</v>
      </c>
      <c r="AW278" s="27">
        <f t="shared" si="62"/>
        <v>14250</v>
      </c>
      <c r="AX278" s="27">
        <f t="shared" si="62"/>
        <v>14250</v>
      </c>
      <c r="AY278" s="27">
        <f t="shared" si="62"/>
        <v>14250</v>
      </c>
      <c r="AZ278" s="27">
        <f t="shared" si="62"/>
        <v>14250</v>
      </c>
      <c r="BA278" s="27">
        <f t="shared" si="62"/>
        <v>14250</v>
      </c>
      <c r="BB278" s="27">
        <f t="shared" si="62"/>
        <v>14250</v>
      </c>
      <c r="BC278" s="27">
        <f t="shared" si="62"/>
        <v>14250</v>
      </c>
      <c r="BD278" s="27">
        <f t="shared" si="62"/>
        <v>14062.5</v>
      </c>
      <c r="BE278" s="45">
        <f t="shared" si="62"/>
        <v>14062.5</v>
      </c>
      <c r="BF278" s="31">
        <f t="shared" si="62"/>
        <v>170875</v>
      </c>
    </row>
    <row r="279" ht="12.75">
      <c r="C279" s="15"/>
    </row>
    <row r="280" spans="1:3" ht="15.75">
      <c r="A280" s="16">
        <f>+A274+1</f>
        <v>30</v>
      </c>
      <c r="C280" s="13" t="s">
        <v>96</v>
      </c>
    </row>
    <row r="281" spans="3:58" ht="12.75">
      <c r="C281" s="4" t="str">
        <f>C275</f>
        <v>Debt Reserve</v>
      </c>
      <c r="AT281" s="26">
        <v>562.08</v>
      </c>
      <c r="AU281" s="26">
        <v>562.08</v>
      </c>
      <c r="AV281" s="26">
        <v>562.08</v>
      </c>
      <c r="AW281" s="26">
        <v>562.08</v>
      </c>
      <c r="AX281" s="26">
        <v>562.08</v>
      </c>
      <c r="AY281" s="26">
        <v>562.08</v>
      </c>
      <c r="AZ281" s="26">
        <v>562.08</v>
      </c>
      <c r="BA281" s="26">
        <v>562.08</v>
      </c>
      <c r="BB281" s="26">
        <v>562.08</v>
      </c>
      <c r="BC281" s="26">
        <v>562.08</v>
      </c>
      <c r="BD281" s="26">
        <v>562.08</v>
      </c>
      <c r="BE281" s="44">
        <v>551.75</v>
      </c>
      <c r="BF281" s="26">
        <f>SUM(AT281:BE281)</f>
        <v>6734.63</v>
      </c>
    </row>
    <row r="282" spans="3:58" ht="12.75">
      <c r="C282" s="4" t="str">
        <f>C276</f>
        <v>Treasury Fee</v>
      </c>
      <c r="AT282" s="32">
        <v>250</v>
      </c>
      <c r="BF282" s="26">
        <f>SUM(AT282:BE282)</f>
        <v>250</v>
      </c>
    </row>
    <row r="283" spans="3:58" ht="13.5" thickBot="1">
      <c r="C283" s="4" t="str">
        <f>C277</f>
        <v>Intercept</v>
      </c>
      <c r="AT283" s="26">
        <f aca="true" t="shared" si="63" ref="AT283:BD283">12916.67+27237.71</f>
        <v>40154.38</v>
      </c>
      <c r="AU283" s="26">
        <f t="shared" si="63"/>
        <v>40154.38</v>
      </c>
      <c r="AV283" s="26">
        <f t="shared" si="63"/>
        <v>40154.38</v>
      </c>
      <c r="AW283" s="26">
        <f t="shared" si="63"/>
        <v>40154.38</v>
      </c>
      <c r="AX283" s="26">
        <f t="shared" si="63"/>
        <v>40154.38</v>
      </c>
      <c r="AY283" s="26">
        <f t="shared" si="63"/>
        <v>40154.38</v>
      </c>
      <c r="AZ283" s="26">
        <f t="shared" si="63"/>
        <v>40154.38</v>
      </c>
      <c r="BA283" s="26">
        <f t="shared" si="63"/>
        <v>40154.38</v>
      </c>
      <c r="BB283" s="26">
        <f t="shared" si="63"/>
        <v>40154.38</v>
      </c>
      <c r="BC283" s="26">
        <f t="shared" si="63"/>
        <v>40154.38</v>
      </c>
      <c r="BD283" s="26">
        <f t="shared" si="63"/>
        <v>40154.38</v>
      </c>
      <c r="BE283" s="44">
        <f>13750+26721.04</f>
        <v>40471.04</v>
      </c>
      <c r="BF283" s="26">
        <f>SUM(AT283:BE283)</f>
        <v>482169.22</v>
      </c>
    </row>
    <row r="284" spans="3:58" ht="13.5" thickBot="1">
      <c r="C284" s="14" t="s">
        <v>97</v>
      </c>
      <c r="AT284" s="27">
        <f aca="true" t="shared" si="64" ref="AT284:BF284">SUM(AT281:AT283)</f>
        <v>40966.46</v>
      </c>
      <c r="AU284" s="27">
        <f t="shared" si="64"/>
        <v>40716.46</v>
      </c>
      <c r="AV284" s="27">
        <f t="shared" si="64"/>
        <v>40716.46</v>
      </c>
      <c r="AW284" s="27">
        <f t="shared" si="64"/>
        <v>40716.46</v>
      </c>
      <c r="AX284" s="27">
        <f t="shared" si="64"/>
        <v>40716.46</v>
      </c>
      <c r="AY284" s="27">
        <f t="shared" si="64"/>
        <v>40716.46</v>
      </c>
      <c r="AZ284" s="27">
        <f t="shared" si="64"/>
        <v>40716.46</v>
      </c>
      <c r="BA284" s="27">
        <f t="shared" si="64"/>
        <v>40716.46</v>
      </c>
      <c r="BB284" s="27">
        <f t="shared" si="64"/>
        <v>40716.46</v>
      </c>
      <c r="BC284" s="27">
        <f t="shared" si="64"/>
        <v>40716.46</v>
      </c>
      <c r="BD284" s="27">
        <f t="shared" si="64"/>
        <v>40716.46</v>
      </c>
      <c r="BE284" s="45">
        <f t="shared" si="64"/>
        <v>41022.79</v>
      </c>
      <c r="BF284" s="31">
        <f t="shared" si="64"/>
        <v>489153.85</v>
      </c>
    </row>
    <row r="285" ht="12.75">
      <c r="C285" s="15"/>
    </row>
    <row r="286" spans="1:3" ht="21">
      <c r="A286" s="16">
        <f>+A280+1</f>
        <v>31</v>
      </c>
      <c r="B286" s="37" t="s">
        <v>107</v>
      </c>
      <c r="C286" s="38" t="s">
        <v>162</v>
      </c>
    </row>
    <row r="287" spans="3:58" ht="12.75">
      <c r="C287" s="4" t="str">
        <f>C281</f>
        <v>Debt Reserve</v>
      </c>
      <c r="AT287" s="26">
        <v>0</v>
      </c>
      <c r="AU287" s="26">
        <v>0</v>
      </c>
      <c r="AV287" s="26">
        <v>0</v>
      </c>
      <c r="AW287" s="26">
        <v>0</v>
      </c>
      <c r="AX287" s="26">
        <v>0</v>
      </c>
      <c r="AY287" s="26">
        <v>0</v>
      </c>
      <c r="AZ287" s="26">
        <v>0</v>
      </c>
      <c r="BA287" s="26">
        <v>0</v>
      </c>
      <c r="BB287" s="26">
        <v>0</v>
      </c>
      <c r="BC287" s="26">
        <v>0</v>
      </c>
      <c r="BD287" s="26">
        <v>0</v>
      </c>
      <c r="BE287" s="44">
        <v>0</v>
      </c>
      <c r="BF287" s="26">
        <f>SUM(AT287:BE287)</f>
        <v>0</v>
      </c>
    </row>
    <row r="288" spans="3:58" ht="12.75">
      <c r="C288" s="4" t="str">
        <f>C282</f>
        <v>Treasury Fee</v>
      </c>
      <c r="AT288" s="32">
        <v>250</v>
      </c>
      <c r="BF288" s="26">
        <f>SUM(AT288:BE288)</f>
        <v>250</v>
      </c>
    </row>
    <row r="289" spans="3:58" ht="13.5" thickBot="1">
      <c r="C289" s="4" t="str">
        <f>C283</f>
        <v>Intercept</v>
      </c>
      <c r="AT289" s="26">
        <v>17750</v>
      </c>
      <c r="AU289" s="26">
        <v>17750</v>
      </c>
      <c r="AV289" s="26">
        <v>17750</v>
      </c>
      <c r="AW289" s="26">
        <v>17750</v>
      </c>
      <c r="AX289" s="26">
        <v>17750</v>
      </c>
      <c r="AY289" s="26">
        <v>17750</v>
      </c>
      <c r="AZ289" s="26">
        <v>17750</v>
      </c>
      <c r="BA289" s="26">
        <v>17750</v>
      </c>
      <c r="BB289" s="26">
        <v>17750</v>
      </c>
      <c r="BC289" s="26">
        <v>17750</v>
      </c>
      <c r="BD289" s="26">
        <v>17750</v>
      </c>
      <c r="BE289" s="44">
        <v>17750</v>
      </c>
      <c r="BF289" s="26">
        <f>SUM(AT289:BE289)</f>
        <v>213000</v>
      </c>
    </row>
    <row r="290" spans="3:58" ht="13.5" thickBot="1">
      <c r="C290" s="14" t="s">
        <v>98</v>
      </c>
      <c r="AT290" s="27">
        <f aca="true" t="shared" si="65" ref="AT290:BF290">SUM(AT287:AT289)</f>
        <v>18000</v>
      </c>
      <c r="AU290" s="27">
        <f t="shared" si="65"/>
        <v>17750</v>
      </c>
      <c r="AV290" s="27">
        <f t="shared" si="65"/>
        <v>17750</v>
      </c>
      <c r="AW290" s="27">
        <f t="shared" si="65"/>
        <v>17750</v>
      </c>
      <c r="AX290" s="27">
        <f t="shared" si="65"/>
        <v>17750</v>
      </c>
      <c r="AY290" s="27">
        <f t="shared" si="65"/>
        <v>17750</v>
      </c>
      <c r="AZ290" s="27">
        <f t="shared" si="65"/>
        <v>17750</v>
      </c>
      <c r="BA290" s="27">
        <f t="shared" si="65"/>
        <v>17750</v>
      </c>
      <c r="BB290" s="27">
        <f t="shared" si="65"/>
        <v>17750</v>
      </c>
      <c r="BC290" s="27">
        <f t="shared" si="65"/>
        <v>17750</v>
      </c>
      <c r="BD290" s="27">
        <f t="shared" si="65"/>
        <v>17750</v>
      </c>
      <c r="BE290" s="45">
        <f t="shared" si="65"/>
        <v>17750</v>
      </c>
      <c r="BF290" s="31">
        <f t="shared" si="65"/>
        <v>213250</v>
      </c>
    </row>
    <row r="291" ht="12.75">
      <c r="C291" s="15"/>
    </row>
    <row r="292" spans="1:3" ht="21">
      <c r="A292" s="16">
        <f>+A286+1</f>
        <v>32</v>
      </c>
      <c r="B292" s="17"/>
      <c r="C292" s="13" t="s">
        <v>99</v>
      </c>
    </row>
    <row r="293" spans="3:58" ht="12.75">
      <c r="C293" s="4" t="str">
        <f>C287</f>
        <v>Debt Reserve</v>
      </c>
      <c r="AT293" s="26">
        <v>0</v>
      </c>
      <c r="AU293" s="26">
        <v>0</v>
      </c>
      <c r="AV293" s="26">
        <v>0</v>
      </c>
      <c r="AW293" s="26">
        <v>0</v>
      </c>
      <c r="AX293" s="26">
        <v>0</v>
      </c>
      <c r="AY293" s="26">
        <v>0</v>
      </c>
      <c r="AZ293" s="26">
        <v>0</v>
      </c>
      <c r="BA293" s="26">
        <v>0</v>
      </c>
      <c r="BB293" s="26">
        <v>0</v>
      </c>
      <c r="BC293" s="26">
        <v>0</v>
      </c>
      <c r="BD293" s="26">
        <v>0</v>
      </c>
      <c r="BE293" s="44">
        <v>0</v>
      </c>
      <c r="BF293" s="26">
        <f>SUM(AT293:BE293)</f>
        <v>0</v>
      </c>
    </row>
    <row r="294" spans="3:58" ht="12.75">
      <c r="C294" s="4" t="str">
        <f>C288</f>
        <v>Treasury Fee</v>
      </c>
      <c r="AT294" s="32">
        <v>250</v>
      </c>
      <c r="BF294" s="26">
        <f>SUM(AT294:BE294)</f>
        <v>250</v>
      </c>
    </row>
    <row r="295" spans="3:58" ht="13.5" thickBot="1">
      <c r="C295" s="4" t="str">
        <f>C289</f>
        <v>Intercept</v>
      </c>
      <c r="AT295" s="26">
        <f>17916.67+56693.23</f>
        <v>74609.9</v>
      </c>
      <c r="AU295" s="26">
        <f>17916.67+56693.23</f>
        <v>74609.9</v>
      </c>
      <c r="AV295" s="26">
        <f>17916.67+56693.23</f>
        <v>74609.9</v>
      </c>
      <c r="AW295" s="26">
        <f>18750+55707.81</f>
        <v>74457.81</v>
      </c>
      <c r="AX295" s="26">
        <f aca="true" t="shared" si="66" ref="AX295:BE295">18750+55707.81</f>
        <v>74457.81</v>
      </c>
      <c r="AY295" s="26">
        <f t="shared" si="66"/>
        <v>74457.81</v>
      </c>
      <c r="AZ295" s="26">
        <f t="shared" si="66"/>
        <v>74457.81</v>
      </c>
      <c r="BA295" s="26">
        <f t="shared" si="66"/>
        <v>74457.81</v>
      </c>
      <c r="BB295" s="26">
        <f t="shared" si="66"/>
        <v>74457.81</v>
      </c>
      <c r="BC295" s="26">
        <f t="shared" si="66"/>
        <v>74457.81</v>
      </c>
      <c r="BD295" s="26">
        <f t="shared" si="66"/>
        <v>74457.81</v>
      </c>
      <c r="BE295" s="44">
        <f t="shared" si="66"/>
        <v>74457.81</v>
      </c>
      <c r="BF295" s="26">
        <f>SUM(AT295:BE295)</f>
        <v>893949.9900000002</v>
      </c>
    </row>
    <row r="296" spans="3:58" ht="13.5" thickBot="1">
      <c r="C296" s="14" t="s">
        <v>100</v>
      </c>
      <c r="AT296" s="27">
        <f aca="true" t="shared" si="67" ref="AT296:BF296">SUM(AT293:AT295)</f>
        <v>74859.9</v>
      </c>
      <c r="AU296" s="27">
        <f t="shared" si="67"/>
        <v>74609.9</v>
      </c>
      <c r="AV296" s="27">
        <f t="shared" si="67"/>
        <v>74609.9</v>
      </c>
      <c r="AW296" s="27">
        <f t="shared" si="67"/>
        <v>74457.81</v>
      </c>
      <c r="AX296" s="27">
        <f t="shared" si="67"/>
        <v>74457.81</v>
      </c>
      <c r="AY296" s="27">
        <f t="shared" si="67"/>
        <v>74457.81</v>
      </c>
      <c r="AZ296" s="27">
        <f t="shared" si="67"/>
        <v>74457.81</v>
      </c>
      <c r="BA296" s="27">
        <f t="shared" si="67"/>
        <v>74457.81</v>
      </c>
      <c r="BB296" s="27">
        <f t="shared" si="67"/>
        <v>74457.81</v>
      </c>
      <c r="BC296" s="27">
        <f t="shared" si="67"/>
        <v>74457.81</v>
      </c>
      <c r="BD296" s="27">
        <f t="shared" si="67"/>
        <v>74457.81</v>
      </c>
      <c r="BE296" s="45">
        <f t="shared" si="67"/>
        <v>74457.81</v>
      </c>
      <c r="BF296" s="31">
        <f t="shared" si="67"/>
        <v>894199.9900000002</v>
      </c>
    </row>
    <row r="297" ht="12.75">
      <c r="C297" s="15"/>
    </row>
    <row r="298" spans="1:3" ht="21">
      <c r="A298" s="16"/>
      <c r="B298" s="18" t="s">
        <v>108</v>
      </c>
      <c r="C298" s="19" t="s">
        <v>101</v>
      </c>
    </row>
    <row r="299" ht="12.75">
      <c r="C299" s="4" t="str">
        <f>C293</f>
        <v>Debt Reserve</v>
      </c>
    </row>
    <row r="300" ht="12.75">
      <c r="C300" s="4" t="str">
        <f>C294</f>
        <v>Treasury Fee</v>
      </c>
    </row>
    <row r="301" ht="13.5" thickBot="1">
      <c r="C301" s="4" t="str">
        <f>C295</f>
        <v>Intercept</v>
      </c>
    </row>
    <row r="302" ht="13.5" thickBot="1">
      <c r="C302" s="14" t="s">
        <v>102</v>
      </c>
    </row>
    <row r="303" ht="12.75">
      <c r="C303" s="15"/>
    </row>
    <row r="304" spans="1:3" ht="21">
      <c r="A304" s="16">
        <f>+A292+1</f>
        <v>33</v>
      </c>
      <c r="B304" s="17"/>
      <c r="C304" s="5" t="s">
        <v>103</v>
      </c>
    </row>
    <row r="305" spans="3:58" ht="12.75">
      <c r="C305" s="4" t="str">
        <f>C299</f>
        <v>Debt Reserve</v>
      </c>
      <c r="AT305" s="26">
        <v>826.25</v>
      </c>
      <c r="AU305" s="26">
        <v>826.25</v>
      </c>
      <c r="AV305" s="26">
        <v>826.25</v>
      </c>
      <c r="AW305" s="26">
        <v>826.25</v>
      </c>
      <c r="AX305" s="26">
        <v>826.25</v>
      </c>
      <c r="AY305" s="26">
        <v>826.25</v>
      </c>
      <c r="AZ305" s="26">
        <v>810.42</v>
      </c>
      <c r="BA305" s="26">
        <v>810.42</v>
      </c>
      <c r="BB305" s="26">
        <v>810.42</v>
      </c>
      <c r="BC305" s="26">
        <v>810.42</v>
      </c>
      <c r="BD305" s="26">
        <v>810.42</v>
      </c>
      <c r="BE305" s="44">
        <v>810.42</v>
      </c>
      <c r="BF305" s="26">
        <f>SUM(AT305:BE305)</f>
        <v>9820.02</v>
      </c>
    </row>
    <row r="306" spans="3:58" ht="12.75">
      <c r="C306" s="4" t="str">
        <f>C300</f>
        <v>Treasury Fee</v>
      </c>
      <c r="AT306" s="32">
        <v>250</v>
      </c>
      <c r="BF306" s="26">
        <f>SUM(AT306:BE306)</f>
        <v>250</v>
      </c>
    </row>
    <row r="307" spans="3:58" ht="13.5" thickBot="1">
      <c r="C307" s="4" t="str">
        <f>C301</f>
        <v>Intercept</v>
      </c>
      <c r="AT307" s="26">
        <f aca="true" t="shared" si="68" ref="AT307:BD307">16666.67+42030.73</f>
        <v>58697.4</v>
      </c>
      <c r="AU307" s="26">
        <f t="shared" si="68"/>
        <v>58697.4</v>
      </c>
      <c r="AV307" s="26">
        <f t="shared" si="68"/>
        <v>58697.4</v>
      </c>
      <c r="AW307" s="26">
        <f t="shared" si="68"/>
        <v>58697.4</v>
      </c>
      <c r="AX307" s="26">
        <f t="shared" si="68"/>
        <v>58697.4</v>
      </c>
      <c r="AY307" s="26">
        <f t="shared" si="68"/>
        <v>58697.4</v>
      </c>
      <c r="AZ307" s="26">
        <f t="shared" si="68"/>
        <v>58697.4</v>
      </c>
      <c r="BA307" s="26">
        <f t="shared" si="68"/>
        <v>58697.4</v>
      </c>
      <c r="BB307" s="26">
        <f t="shared" si="68"/>
        <v>58697.4</v>
      </c>
      <c r="BC307" s="26">
        <f t="shared" si="68"/>
        <v>58697.4</v>
      </c>
      <c r="BD307" s="26">
        <f t="shared" si="68"/>
        <v>58697.4</v>
      </c>
      <c r="BE307" s="44">
        <f>17083.33+41364.06</f>
        <v>58447.39</v>
      </c>
      <c r="BF307" s="26">
        <f>SUM(AT307:BE307)</f>
        <v>704118.7900000002</v>
      </c>
    </row>
    <row r="308" spans="3:58" ht="13.5" thickBot="1">
      <c r="C308" s="6" t="s">
        <v>104</v>
      </c>
      <c r="AT308" s="27">
        <f aca="true" t="shared" si="69" ref="AT308:BF308">SUM(AT305:AT307)</f>
        <v>59773.65</v>
      </c>
      <c r="AU308" s="27">
        <f t="shared" si="69"/>
        <v>59523.65</v>
      </c>
      <c r="AV308" s="27">
        <f t="shared" si="69"/>
        <v>59523.65</v>
      </c>
      <c r="AW308" s="27">
        <f t="shared" si="69"/>
        <v>59523.65</v>
      </c>
      <c r="AX308" s="27">
        <f t="shared" si="69"/>
        <v>59523.65</v>
      </c>
      <c r="AY308" s="27">
        <f t="shared" si="69"/>
        <v>59523.65</v>
      </c>
      <c r="AZ308" s="27">
        <f t="shared" si="69"/>
        <v>59507.82</v>
      </c>
      <c r="BA308" s="27">
        <f t="shared" si="69"/>
        <v>59507.82</v>
      </c>
      <c r="BB308" s="27">
        <f t="shared" si="69"/>
        <v>59507.82</v>
      </c>
      <c r="BC308" s="27">
        <f t="shared" si="69"/>
        <v>59507.82</v>
      </c>
      <c r="BD308" s="27">
        <f t="shared" si="69"/>
        <v>59507.82</v>
      </c>
      <c r="BE308" s="45">
        <f t="shared" si="69"/>
        <v>59257.81</v>
      </c>
      <c r="BF308" s="31">
        <f t="shared" si="69"/>
        <v>714188.8100000002</v>
      </c>
    </row>
    <row r="309" ht="12.75">
      <c r="C309" s="15"/>
    </row>
    <row r="310" spans="1:3" ht="21">
      <c r="A310" s="16">
        <f>+A304+1</f>
        <v>34</v>
      </c>
      <c r="B310" s="37" t="s">
        <v>107</v>
      </c>
      <c r="C310" s="36" t="s">
        <v>105</v>
      </c>
    </row>
    <row r="311" spans="3:58" ht="12.75">
      <c r="C311" s="4" t="str">
        <f>C305</f>
        <v>Debt Reserve</v>
      </c>
      <c r="AT311" s="26">
        <v>0</v>
      </c>
      <c r="AU311" s="26">
        <v>0</v>
      </c>
      <c r="AV311" s="26">
        <v>0</v>
      </c>
      <c r="AW311" s="26">
        <v>0</v>
      </c>
      <c r="AX311" s="26">
        <v>0</v>
      </c>
      <c r="AY311" s="26">
        <v>0</v>
      </c>
      <c r="AZ311" s="26">
        <v>0</v>
      </c>
      <c r="BA311" s="26">
        <v>0</v>
      </c>
      <c r="BB311" s="26">
        <v>0</v>
      </c>
      <c r="BC311" s="26">
        <v>0</v>
      </c>
      <c r="BD311" s="26">
        <v>0</v>
      </c>
      <c r="BE311" s="44">
        <v>0</v>
      </c>
      <c r="BF311" s="26">
        <f>SUM(AT311:BE311)</f>
        <v>0</v>
      </c>
    </row>
    <row r="312" spans="3:58" ht="12.75">
      <c r="C312" s="4" t="str">
        <f>C306</f>
        <v>Treasury Fee</v>
      </c>
      <c r="AT312" s="32">
        <v>250</v>
      </c>
      <c r="BF312" s="26">
        <f>SUM(AT312:BE312)</f>
        <v>250</v>
      </c>
    </row>
    <row r="313" spans="3:58" ht="13.5" thickBot="1">
      <c r="C313" s="4" t="str">
        <f>C307</f>
        <v>Intercept</v>
      </c>
      <c r="AT313" s="26">
        <f>12500+43492.71</f>
        <v>55992.71</v>
      </c>
      <c r="AU313" s="26">
        <f aca="true" t="shared" si="70" ref="AU313:BE313">12500+43492.71</f>
        <v>55992.71</v>
      </c>
      <c r="AV313" s="26">
        <f t="shared" si="70"/>
        <v>55992.71</v>
      </c>
      <c r="AW313" s="26">
        <f t="shared" si="70"/>
        <v>55992.71</v>
      </c>
      <c r="AX313" s="26">
        <f t="shared" si="70"/>
        <v>55992.71</v>
      </c>
      <c r="AY313" s="26">
        <f t="shared" si="70"/>
        <v>55992.71</v>
      </c>
      <c r="AZ313" s="26">
        <f t="shared" si="70"/>
        <v>55992.71</v>
      </c>
      <c r="BA313" s="26">
        <f t="shared" si="70"/>
        <v>55992.71</v>
      </c>
      <c r="BB313" s="26">
        <f t="shared" si="70"/>
        <v>55992.71</v>
      </c>
      <c r="BC313" s="26">
        <f t="shared" si="70"/>
        <v>55992.71</v>
      </c>
      <c r="BD313" s="26">
        <f t="shared" si="70"/>
        <v>55992.71</v>
      </c>
      <c r="BE313" s="44">
        <f t="shared" si="70"/>
        <v>55992.71</v>
      </c>
      <c r="BF313" s="26">
        <f>SUM(AT313:BE313)</f>
        <v>671912.52</v>
      </c>
    </row>
    <row r="314" spans="3:58" ht="13.5" thickBot="1">
      <c r="C314" s="6" t="s">
        <v>106</v>
      </c>
      <c r="AT314" s="27">
        <f aca="true" t="shared" si="71" ref="AT314:BF314">SUM(AT311:AT313)</f>
        <v>56242.71</v>
      </c>
      <c r="AU314" s="27">
        <f t="shared" si="71"/>
        <v>55992.71</v>
      </c>
      <c r="AV314" s="27">
        <f t="shared" si="71"/>
        <v>55992.71</v>
      </c>
      <c r="AW314" s="27">
        <f t="shared" si="71"/>
        <v>55992.71</v>
      </c>
      <c r="AX314" s="27">
        <f t="shared" si="71"/>
        <v>55992.71</v>
      </c>
      <c r="AY314" s="27">
        <f t="shared" si="71"/>
        <v>55992.71</v>
      </c>
      <c r="AZ314" s="27">
        <f t="shared" si="71"/>
        <v>55992.71</v>
      </c>
      <c r="BA314" s="27">
        <f t="shared" si="71"/>
        <v>55992.71</v>
      </c>
      <c r="BB314" s="27">
        <f t="shared" si="71"/>
        <v>55992.71</v>
      </c>
      <c r="BC314" s="27">
        <f t="shared" si="71"/>
        <v>55992.71</v>
      </c>
      <c r="BD314" s="27">
        <f t="shared" si="71"/>
        <v>55992.71</v>
      </c>
      <c r="BE314" s="45">
        <f t="shared" si="71"/>
        <v>55992.71</v>
      </c>
      <c r="BF314" s="31">
        <f t="shared" si="71"/>
        <v>672162.52</v>
      </c>
    </row>
    <row r="315" ht="12.75">
      <c r="C315" s="15"/>
    </row>
    <row r="316" spans="1:3" ht="21">
      <c r="A316" s="16">
        <f>+A310+1</f>
        <v>35</v>
      </c>
      <c r="B316" s="17"/>
      <c r="C316" s="5" t="s">
        <v>110</v>
      </c>
    </row>
    <row r="317" spans="3:58" ht="12.75">
      <c r="C317" s="4" t="str">
        <f>C311</f>
        <v>Debt Reserve</v>
      </c>
      <c r="AT317" s="26">
        <v>0</v>
      </c>
      <c r="AU317" s="26">
        <v>0</v>
      </c>
      <c r="AV317" s="26">
        <v>0</v>
      </c>
      <c r="AW317" s="26">
        <v>0</v>
      </c>
      <c r="AX317" s="26">
        <v>0</v>
      </c>
      <c r="AY317" s="26">
        <v>0</v>
      </c>
      <c r="AZ317" s="26">
        <v>0</v>
      </c>
      <c r="BA317" s="26">
        <v>0</v>
      </c>
      <c r="BB317" s="26">
        <v>0</v>
      </c>
      <c r="BC317" s="26">
        <v>0</v>
      </c>
      <c r="BD317" s="26">
        <v>0</v>
      </c>
      <c r="BE317" s="44">
        <v>0</v>
      </c>
      <c r="BF317" s="26">
        <f>SUM(AT317:BE317)</f>
        <v>0</v>
      </c>
    </row>
    <row r="318" spans="3:58" ht="12.75">
      <c r="C318" s="4" t="str">
        <f>C312</f>
        <v>Treasury Fee</v>
      </c>
      <c r="AT318" s="32">
        <v>250</v>
      </c>
      <c r="BF318" s="26">
        <f>SUM(AT318:BE318)</f>
        <v>250</v>
      </c>
    </row>
    <row r="319" spans="3:58" ht="13.5" thickBot="1">
      <c r="C319" s="4" t="str">
        <f>C313</f>
        <v>Intercept</v>
      </c>
      <c r="AT319" s="26">
        <f aca="true" t="shared" si="72" ref="AT319:BB319">5416.67+26296.88</f>
        <v>31713.550000000003</v>
      </c>
      <c r="AU319" s="26">
        <f t="shared" si="72"/>
        <v>31713.550000000003</v>
      </c>
      <c r="AV319" s="26">
        <f t="shared" si="72"/>
        <v>31713.550000000003</v>
      </c>
      <c r="AW319" s="26">
        <f t="shared" si="72"/>
        <v>31713.550000000003</v>
      </c>
      <c r="AX319" s="26">
        <f t="shared" si="72"/>
        <v>31713.550000000003</v>
      </c>
      <c r="AY319" s="26">
        <f t="shared" si="72"/>
        <v>31713.550000000003</v>
      </c>
      <c r="AZ319" s="26">
        <f t="shared" si="72"/>
        <v>31713.550000000003</v>
      </c>
      <c r="BA319" s="26">
        <f t="shared" si="72"/>
        <v>31713.550000000003</v>
      </c>
      <c r="BB319" s="26">
        <f t="shared" si="72"/>
        <v>31713.550000000003</v>
      </c>
      <c r="BC319" s="26">
        <f>5833.33+25931.25</f>
        <v>31764.58</v>
      </c>
      <c r="BD319" s="26">
        <f>5833.33+25931.25</f>
        <v>31764.58</v>
      </c>
      <c r="BE319" s="44">
        <f>5833.33+25931.25</f>
        <v>31764.58</v>
      </c>
      <c r="BF319" s="26">
        <f>SUM(AT319:BE319)</f>
        <v>380715.69</v>
      </c>
    </row>
    <row r="320" spans="3:58" ht="13.5" thickBot="1">
      <c r="C320" s="6" t="s">
        <v>111</v>
      </c>
      <c r="AT320" s="27">
        <f aca="true" t="shared" si="73" ref="AT320:BF320">SUM(AT317:AT319)</f>
        <v>31963.550000000003</v>
      </c>
      <c r="AU320" s="27">
        <f t="shared" si="73"/>
        <v>31713.550000000003</v>
      </c>
      <c r="AV320" s="27">
        <f t="shared" si="73"/>
        <v>31713.550000000003</v>
      </c>
      <c r="AW320" s="27">
        <f t="shared" si="73"/>
        <v>31713.550000000003</v>
      </c>
      <c r="AX320" s="27">
        <f t="shared" si="73"/>
        <v>31713.550000000003</v>
      </c>
      <c r="AY320" s="27">
        <f t="shared" si="73"/>
        <v>31713.550000000003</v>
      </c>
      <c r="AZ320" s="27">
        <f t="shared" si="73"/>
        <v>31713.550000000003</v>
      </c>
      <c r="BA320" s="27">
        <f t="shared" si="73"/>
        <v>31713.550000000003</v>
      </c>
      <c r="BB320" s="27">
        <f t="shared" si="73"/>
        <v>31713.550000000003</v>
      </c>
      <c r="BC320" s="27">
        <f t="shared" si="73"/>
        <v>31764.58</v>
      </c>
      <c r="BD320" s="27">
        <f t="shared" si="73"/>
        <v>31764.58</v>
      </c>
      <c r="BE320" s="45">
        <f t="shared" si="73"/>
        <v>31764.58</v>
      </c>
      <c r="BF320" s="31">
        <f t="shared" si="73"/>
        <v>380965.69</v>
      </c>
    </row>
    <row r="321" ht="12.75">
      <c r="C321" s="12"/>
    </row>
    <row r="322" spans="1:3" ht="21">
      <c r="A322" s="16"/>
      <c r="B322" s="9" t="s">
        <v>109</v>
      </c>
      <c r="C322" s="10" t="s">
        <v>112</v>
      </c>
    </row>
    <row r="323" ht="12.75">
      <c r="C323" s="4" t="str">
        <f>C317</f>
        <v>Debt Reserve</v>
      </c>
    </row>
    <row r="324" ht="12.75">
      <c r="C324" s="4" t="str">
        <f>C318</f>
        <v>Treasury Fee</v>
      </c>
    </row>
    <row r="325" ht="13.5" thickBot="1">
      <c r="C325" s="4" t="str">
        <f>C319</f>
        <v>Intercept</v>
      </c>
    </row>
    <row r="326" ht="13.5" thickBot="1">
      <c r="C326" s="6" t="s">
        <v>113</v>
      </c>
    </row>
    <row r="327" ht="12.75">
      <c r="C327" s="12"/>
    </row>
    <row r="328" spans="1:3" ht="21">
      <c r="A328" s="16">
        <f>+A316+1</f>
        <v>36</v>
      </c>
      <c r="B328" s="17"/>
      <c r="C328" s="5" t="s">
        <v>114</v>
      </c>
    </row>
    <row r="329" spans="3:58" ht="12.75">
      <c r="C329" s="4" t="str">
        <f>C323</f>
        <v>Debt Reserve</v>
      </c>
      <c r="AT329" s="26">
        <v>0</v>
      </c>
      <c r="AU329" s="26">
        <v>0</v>
      </c>
      <c r="AV329" s="26">
        <v>0</v>
      </c>
      <c r="AW329" s="26">
        <v>0</v>
      </c>
      <c r="AX329" s="26">
        <v>0</v>
      </c>
      <c r="AY329" s="26">
        <v>0</v>
      </c>
      <c r="AZ329" s="26">
        <v>0</v>
      </c>
      <c r="BA329" s="26">
        <v>0</v>
      </c>
      <c r="BB329" s="26">
        <v>0</v>
      </c>
      <c r="BC329" s="26">
        <v>0</v>
      </c>
      <c r="BD329" s="26">
        <v>0</v>
      </c>
      <c r="BE329" s="44">
        <v>0</v>
      </c>
      <c r="BF329" s="26">
        <f>SUM(AT329:BE329)</f>
        <v>0</v>
      </c>
    </row>
    <row r="330" spans="3:58" ht="12.75">
      <c r="C330" s="4" t="str">
        <f>C324</f>
        <v>Treasury Fee</v>
      </c>
      <c r="AT330" s="32">
        <v>250</v>
      </c>
      <c r="BF330" s="26">
        <f>SUM(AT330:BE330)</f>
        <v>250</v>
      </c>
    </row>
    <row r="331" spans="3:58" ht="13.5" thickBot="1">
      <c r="C331" s="4" t="str">
        <f>C325</f>
        <v>Intercept</v>
      </c>
      <c r="AT331" s="26">
        <f aca="true" t="shared" si="74" ref="AT331:BC331">7916.68+34063.54</f>
        <v>41980.22</v>
      </c>
      <c r="AU331" s="26">
        <f t="shared" si="74"/>
        <v>41980.22</v>
      </c>
      <c r="AV331" s="26">
        <f t="shared" si="74"/>
        <v>41980.22</v>
      </c>
      <c r="AW331" s="26">
        <f t="shared" si="74"/>
        <v>41980.22</v>
      </c>
      <c r="AX331" s="26">
        <f t="shared" si="74"/>
        <v>41980.22</v>
      </c>
      <c r="AY331" s="26">
        <f t="shared" si="74"/>
        <v>41980.22</v>
      </c>
      <c r="AZ331" s="26">
        <f t="shared" si="74"/>
        <v>41980.22</v>
      </c>
      <c r="BA331" s="26">
        <f t="shared" si="74"/>
        <v>41980.22</v>
      </c>
      <c r="BB331" s="26">
        <f t="shared" si="74"/>
        <v>41980.22</v>
      </c>
      <c r="BC331" s="26">
        <f t="shared" si="74"/>
        <v>41980.22</v>
      </c>
      <c r="BD331" s="26">
        <f>8333.33+33539.06</f>
        <v>41872.39</v>
      </c>
      <c r="BE331" s="44">
        <f>8333.33+33539.06</f>
        <v>41872.39</v>
      </c>
      <c r="BF331" s="26">
        <f>SUM(AT331:BE331)</f>
        <v>503546.98</v>
      </c>
    </row>
    <row r="332" spans="3:58" ht="13.5" thickBot="1">
      <c r="C332" s="6" t="s">
        <v>115</v>
      </c>
      <c r="AT332" s="27">
        <f aca="true" t="shared" si="75" ref="AT332:BF332">SUM(AT329:AT331)</f>
        <v>42230.22</v>
      </c>
      <c r="AU332" s="27">
        <f t="shared" si="75"/>
        <v>41980.22</v>
      </c>
      <c r="AV332" s="27">
        <f t="shared" si="75"/>
        <v>41980.22</v>
      </c>
      <c r="AW332" s="27">
        <f t="shared" si="75"/>
        <v>41980.22</v>
      </c>
      <c r="AX332" s="27">
        <f t="shared" si="75"/>
        <v>41980.22</v>
      </c>
      <c r="AY332" s="27">
        <f t="shared" si="75"/>
        <v>41980.22</v>
      </c>
      <c r="AZ332" s="27">
        <f t="shared" si="75"/>
        <v>41980.22</v>
      </c>
      <c r="BA332" s="27">
        <f t="shared" si="75"/>
        <v>41980.22</v>
      </c>
      <c r="BB332" s="27">
        <f t="shared" si="75"/>
        <v>41980.22</v>
      </c>
      <c r="BC332" s="27">
        <f t="shared" si="75"/>
        <v>41980.22</v>
      </c>
      <c r="BD332" s="27">
        <f t="shared" si="75"/>
        <v>41872.39</v>
      </c>
      <c r="BE332" s="45">
        <f t="shared" si="75"/>
        <v>41872.39</v>
      </c>
      <c r="BF332" s="31">
        <f t="shared" si="75"/>
        <v>503796.98</v>
      </c>
    </row>
    <row r="333" ht="12.75">
      <c r="C333" s="12"/>
    </row>
    <row r="334" spans="1:3" ht="21">
      <c r="A334" s="16">
        <f>+A328+1</f>
        <v>37</v>
      </c>
      <c r="B334" s="17"/>
      <c r="C334" s="5" t="s">
        <v>116</v>
      </c>
    </row>
    <row r="335" spans="3:58" ht="12.75">
      <c r="C335" s="4" t="str">
        <f>C329</f>
        <v>Debt Reserve</v>
      </c>
      <c r="AT335" s="26">
        <v>0</v>
      </c>
      <c r="AU335" s="26">
        <v>0</v>
      </c>
      <c r="AV335" s="26">
        <v>0</v>
      </c>
      <c r="AW335" s="26">
        <v>0</v>
      </c>
      <c r="AX335" s="26">
        <v>0</v>
      </c>
      <c r="AY335" s="26">
        <v>0</v>
      </c>
      <c r="AZ335" s="26">
        <v>0</v>
      </c>
      <c r="BA335" s="26">
        <v>0</v>
      </c>
      <c r="BB335" s="26">
        <v>0</v>
      </c>
      <c r="BC335" s="26">
        <v>0</v>
      </c>
      <c r="BD335" s="26">
        <v>0</v>
      </c>
      <c r="BE335" s="44">
        <v>0</v>
      </c>
      <c r="BF335" s="26">
        <f>SUM(AT335:BE335)</f>
        <v>0</v>
      </c>
    </row>
    <row r="336" spans="3:58" ht="12.75">
      <c r="C336" s="4" t="str">
        <f>C330</f>
        <v>Treasury Fee</v>
      </c>
      <c r="AT336" s="32">
        <v>250</v>
      </c>
      <c r="BF336" s="26">
        <f>SUM(AT336:BE336)</f>
        <v>250</v>
      </c>
    </row>
    <row r="337" spans="3:58" ht="13.5" thickBot="1">
      <c r="C337" s="4" t="str">
        <f>C331</f>
        <v>Intercept</v>
      </c>
      <c r="AT337" s="32">
        <f>16666.67+76562.5</f>
        <v>93229.17</v>
      </c>
      <c r="AU337" s="26">
        <f>17916.67+75437.5</f>
        <v>93354.17</v>
      </c>
      <c r="AV337" s="26">
        <f aca="true" t="shared" si="76" ref="AV337:BE337">17916.67+75437.5</f>
        <v>93354.17</v>
      </c>
      <c r="AW337" s="26">
        <f t="shared" si="76"/>
        <v>93354.17</v>
      </c>
      <c r="AX337" s="26">
        <f t="shared" si="76"/>
        <v>93354.17</v>
      </c>
      <c r="AY337" s="26">
        <f t="shared" si="76"/>
        <v>93354.17</v>
      </c>
      <c r="AZ337" s="26">
        <f t="shared" si="76"/>
        <v>93354.17</v>
      </c>
      <c r="BA337" s="26">
        <f t="shared" si="76"/>
        <v>93354.17</v>
      </c>
      <c r="BB337" s="26">
        <f t="shared" si="76"/>
        <v>93354.17</v>
      </c>
      <c r="BC337" s="26">
        <f t="shared" si="76"/>
        <v>93354.17</v>
      </c>
      <c r="BD337" s="26">
        <f t="shared" si="76"/>
        <v>93354.17</v>
      </c>
      <c r="BE337" s="44">
        <f t="shared" si="76"/>
        <v>93354.17</v>
      </c>
      <c r="BF337" s="26">
        <f>SUM(AT337:BE337)</f>
        <v>1120125.0400000003</v>
      </c>
    </row>
    <row r="338" spans="3:58" ht="13.5" thickBot="1">
      <c r="C338" s="6" t="s">
        <v>117</v>
      </c>
      <c r="AT338" s="27">
        <f aca="true" t="shared" si="77" ref="AT338:BF338">SUM(AT335:AT337)</f>
        <v>93479.17</v>
      </c>
      <c r="AU338" s="27">
        <f t="shared" si="77"/>
        <v>93354.17</v>
      </c>
      <c r="AV338" s="27">
        <f t="shared" si="77"/>
        <v>93354.17</v>
      </c>
      <c r="AW338" s="27">
        <f t="shared" si="77"/>
        <v>93354.17</v>
      </c>
      <c r="AX338" s="27">
        <f t="shared" si="77"/>
        <v>93354.17</v>
      </c>
      <c r="AY338" s="27">
        <f t="shared" si="77"/>
        <v>93354.17</v>
      </c>
      <c r="AZ338" s="27">
        <f t="shared" si="77"/>
        <v>93354.17</v>
      </c>
      <c r="BA338" s="27">
        <f t="shared" si="77"/>
        <v>93354.17</v>
      </c>
      <c r="BB338" s="27">
        <f t="shared" si="77"/>
        <v>93354.17</v>
      </c>
      <c r="BC338" s="27">
        <f t="shared" si="77"/>
        <v>93354.17</v>
      </c>
      <c r="BD338" s="27">
        <f t="shared" si="77"/>
        <v>93354.17</v>
      </c>
      <c r="BE338" s="45">
        <f t="shared" si="77"/>
        <v>93354.17</v>
      </c>
      <c r="BF338" s="31">
        <f t="shared" si="77"/>
        <v>1120375.0400000003</v>
      </c>
    </row>
    <row r="339" ht="12.75">
      <c r="C339" s="12"/>
    </row>
    <row r="340" spans="1:3" ht="21">
      <c r="A340" s="16">
        <f>+A334+1</f>
        <v>38</v>
      </c>
      <c r="B340" s="17"/>
      <c r="C340" s="5" t="s">
        <v>118</v>
      </c>
    </row>
    <row r="341" spans="3:58" ht="12.75">
      <c r="C341" s="4" t="str">
        <f>C335</f>
        <v>Debt Reserve</v>
      </c>
      <c r="AT341" s="26">
        <v>512.08</v>
      </c>
      <c r="AU341" s="26">
        <v>512.08</v>
      </c>
      <c r="AV341" s="26">
        <v>512.08</v>
      </c>
      <c r="AW341" s="26">
        <v>512.08</v>
      </c>
      <c r="AX341" s="26">
        <v>512.08</v>
      </c>
      <c r="AY341" s="26">
        <v>512.08</v>
      </c>
      <c r="AZ341" s="26">
        <v>512.08</v>
      </c>
      <c r="BA341" s="26">
        <v>512.08</v>
      </c>
      <c r="BB341" s="26">
        <v>512.08</v>
      </c>
      <c r="BC341" s="26">
        <v>512.08</v>
      </c>
      <c r="BD341" s="26">
        <v>512.08</v>
      </c>
      <c r="BE341" s="44">
        <v>512.08</v>
      </c>
      <c r="BF341" s="26">
        <f>SUM(AT341:BE341)</f>
        <v>6144.96</v>
      </c>
    </row>
    <row r="342" spans="3:58" ht="12.75">
      <c r="C342" s="4" t="str">
        <f>C336</f>
        <v>Treasury Fee</v>
      </c>
      <c r="AT342" s="32">
        <v>250</v>
      </c>
      <c r="BF342" s="26">
        <f>SUM(AT342:BE342)</f>
        <v>250</v>
      </c>
    </row>
    <row r="343" spans="3:58" ht="13.5" thickBot="1">
      <c r="C343" s="4" t="str">
        <f>C337</f>
        <v>Intercept</v>
      </c>
      <c r="AT343" s="26">
        <v>28804.69</v>
      </c>
      <c r="AU343" s="26">
        <v>28804.69</v>
      </c>
      <c r="AV343" s="26">
        <v>28804.69</v>
      </c>
      <c r="AW343" s="26">
        <v>28804.69</v>
      </c>
      <c r="AX343" s="26">
        <v>28804.69</v>
      </c>
      <c r="AY343" s="26">
        <v>28804.69</v>
      </c>
      <c r="AZ343" s="26">
        <v>28804.69</v>
      </c>
      <c r="BA343" s="26">
        <v>28804.69</v>
      </c>
      <c r="BB343" s="26">
        <v>28804.69</v>
      </c>
      <c r="BC343" s="26">
        <v>28804.69</v>
      </c>
      <c r="BD343" s="26">
        <v>28804.69</v>
      </c>
      <c r="BE343" s="44">
        <v>28804.69</v>
      </c>
      <c r="BF343" s="26">
        <f>SUM(AT343:BE343)</f>
        <v>345656.27999999997</v>
      </c>
    </row>
    <row r="344" spans="3:58" ht="13.5" thickBot="1">
      <c r="C344" s="6" t="s">
        <v>26</v>
      </c>
      <c r="AT344" s="27">
        <f aca="true" t="shared" si="78" ref="AT344:BF344">SUM(AT341:AT343)</f>
        <v>29566.77</v>
      </c>
      <c r="AU344" s="27">
        <f t="shared" si="78"/>
        <v>29316.77</v>
      </c>
      <c r="AV344" s="27">
        <f t="shared" si="78"/>
        <v>29316.77</v>
      </c>
      <c r="AW344" s="27">
        <f t="shared" si="78"/>
        <v>29316.77</v>
      </c>
      <c r="AX344" s="27">
        <f t="shared" si="78"/>
        <v>29316.77</v>
      </c>
      <c r="AY344" s="27">
        <f t="shared" si="78"/>
        <v>29316.77</v>
      </c>
      <c r="AZ344" s="27">
        <f t="shared" si="78"/>
        <v>29316.77</v>
      </c>
      <c r="BA344" s="27">
        <f t="shared" si="78"/>
        <v>29316.77</v>
      </c>
      <c r="BB344" s="27">
        <f t="shared" si="78"/>
        <v>29316.77</v>
      </c>
      <c r="BC344" s="27">
        <f t="shared" si="78"/>
        <v>29316.77</v>
      </c>
      <c r="BD344" s="27">
        <f t="shared" si="78"/>
        <v>29316.77</v>
      </c>
      <c r="BE344" s="45">
        <f t="shared" si="78"/>
        <v>29316.77</v>
      </c>
      <c r="BF344" s="31">
        <f t="shared" si="78"/>
        <v>352051.24</v>
      </c>
    </row>
    <row r="345" ht="12.75">
      <c r="C345" s="12"/>
    </row>
    <row r="346" spans="1:3" ht="21">
      <c r="A346" s="16">
        <f>+A340+1</f>
        <v>39</v>
      </c>
      <c r="B346" s="17"/>
      <c r="C346" s="5" t="s">
        <v>119</v>
      </c>
    </row>
    <row r="347" spans="3:58" ht="12.75">
      <c r="C347" s="4" t="str">
        <f>C341</f>
        <v>Debt Reserve</v>
      </c>
      <c r="AT347" s="26">
        <v>1377.92</v>
      </c>
      <c r="AU347" s="26">
        <v>1377.92</v>
      </c>
      <c r="AV347" s="26">
        <v>1377.92</v>
      </c>
      <c r="AW347" s="26">
        <v>1377.92</v>
      </c>
      <c r="AX347" s="26">
        <v>1377.92</v>
      </c>
      <c r="AY347" s="26">
        <v>1362.5</v>
      </c>
      <c r="AZ347" s="26">
        <v>1362.5</v>
      </c>
      <c r="BA347" s="26">
        <v>1362.5</v>
      </c>
      <c r="BB347" s="26">
        <v>1362.5</v>
      </c>
      <c r="BC347" s="26">
        <v>1362.5</v>
      </c>
      <c r="BD347" s="26">
        <v>1362.5</v>
      </c>
      <c r="BE347" s="44">
        <v>1362.5</v>
      </c>
      <c r="BF347" s="26">
        <f>SUM(AT347:BE347)</f>
        <v>16427.1</v>
      </c>
    </row>
    <row r="348" spans="3:58" ht="12.75">
      <c r="C348" s="4" t="str">
        <f>C342</f>
        <v>Treasury Fee</v>
      </c>
      <c r="AT348" s="32">
        <v>250</v>
      </c>
      <c r="BF348" s="26">
        <f>SUM(AT348:BE348)</f>
        <v>250</v>
      </c>
    </row>
    <row r="349" spans="3:58" ht="13.5" thickBot="1">
      <c r="C349" s="4" t="str">
        <f>C343</f>
        <v>Intercept</v>
      </c>
      <c r="AT349" s="26">
        <f>15416.67+103178.13</f>
        <v>118594.8</v>
      </c>
      <c r="AU349" s="26">
        <f>15416.67+103178.13</f>
        <v>118594.8</v>
      </c>
      <c r="AV349" s="26">
        <f>15416.67+103178.13</f>
        <v>118594.8</v>
      </c>
      <c r="AW349" s="26">
        <f>15416.67+103178.13</f>
        <v>118594.8</v>
      </c>
      <c r="AX349" s="26">
        <f>15416.67+103178.13</f>
        <v>118594.8</v>
      </c>
      <c r="AY349" s="26">
        <f>16250+102214.58</f>
        <v>118464.58</v>
      </c>
      <c r="AZ349" s="26">
        <f aca="true" t="shared" si="79" ref="AZ349:BE349">16250+102214.58</f>
        <v>118464.58</v>
      </c>
      <c r="BA349" s="26">
        <f t="shared" si="79"/>
        <v>118464.58</v>
      </c>
      <c r="BB349" s="26">
        <f t="shared" si="79"/>
        <v>118464.58</v>
      </c>
      <c r="BC349" s="26">
        <f t="shared" si="79"/>
        <v>118464.58</v>
      </c>
      <c r="BD349" s="26">
        <f t="shared" si="79"/>
        <v>118464.58</v>
      </c>
      <c r="BE349" s="44">
        <f t="shared" si="79"/>
        <v>118464.58</v>
      </c>
      <c r="BF349" s="26">
        <f>SUM(AT349:BE349)</f>
        <v>1422226.06</v>
      </c>
    </row>
    <row r="350" spans="3:58" ht="13.5" thickBot="1">
      <c r="C350" s="6" t="s">
        <v>120</v>
      </c>
      <c r="AT350" s="27">
        <f aca="true" t="shared" si="80" ref="AT350:BF350">SUM(AT347:AT349)</f>
        <v>120222.72</v>
      </c>
      <c r="AU350" s="27">
        <f t="shared" si="80"/>
        <v>119972.72</v>
      </c>
      <c r="AV350" s="27">
        <f t="shared" si="80"/>
        <v>119972.72</v>
      </c>
      <c r="AW350" s="27">
        <f t="shared" si="80"/>
        <v>119972.72</v>
      </c>
      <c r="AX350" s="27">
        <f t="shared" si="80"/>
        <v>119972.72</v>
      </c>
      <c r="AY350" s="27">
        <f t="shared" si="80"/>
        <v>119827.08</v>
      </c>
      <c r="AZ350" s="27">
        <f t="shared" si="80"/>
        <v>119827.08</v>
      </c>
      <c r="BA350" s="27">
        <f t="shared" si="80"/>
        <v>119827.08</v>
      </c>
      <c r="BB350" s="27">
        <f t="shared" si="80"/>
        <v>119827.08</v>
      </c>
      <c r="BC350" s="27">
        <f t="shared" si="80"/>
        <v>119827.08</v>
      </c>
      <c r="BD350" s="27">
        <f t="shared" si="80"/>
        <v>119827.08</v>
      </c>
      <c r="BE350" s="45">
        <f t="shared" si="80"/>
        <v>119827.08</v>
      </c>
      <c r="BF350" s="31">
        <f t="shared" si="80"/>
        <v>1438903.1600000001</v>
      </c>
    </row>
    <row r="351" ht="12.75">
      <c r="C351" s="12"/>
    </row>
    <row r="352" spans="1:3" ht="21">
      <c r="A352" s="16">
        <f>+A346+1</f>
        <v>40</v>
      </c>
      <c r="B352" s="17"/>
      <c r="C352" s="5" t="s">
        <v>121</v>
      </c>
    </row>
    <row r="353" spans="3:58" ht="12.75">
      <c r="C353" s="4" t="str">
        <f>C347</f>
        <v>Debt Reserve</v>
      </c>
      <c r="AT353" s="26">
        <v>0</v>
      </c>
      <c r="AU353" s="26">
        <v>0</v>
      </c>
      <c r="AV353" s="26">
        <v>0</v>
      </c>
      <c r="AW353" s="26">
        <v>0</v>
      </c>
      <c r="AX353" s="26">
        <v>0</v>
      </c>
      <c r="AY353" s="26">
        <v>0</v>
      </c>
      <c r="AZ353" s="26">
        <v>0</v>
      </c>
      <c r="BA353" s="26">
        <v>0</v>
      </c>
      <c r="BB353" s="26">
        <v>0</v>
      </c>
      <c r="BC353" s="26">
        <v>0</v>
      </c>
      <c r="BD353" s="26">
        <v>0</v>
      </c>
      <c r="BE353" s="44">
        <v>0</v>
      </c>
      <c r="BF353" s="26">
        <f>SUM(AT353:BE353)</f>
        <v>0</v>
      </c>
    </row>
    <row r="354" spans="3:58" ht="12.75">
      <c r="C354" s="4" t="str">
        <f>C348</f>
        <v>Treasury Fee</v>
      </c>
      <c r="AT354" s="32">
        <v>250</v>
      </c>
      <c r="BF354" s="26">
        <f>SUM(AT354:BE354)</f>
        <v>250</v>
      </c>
    </row>
    <row r="355" spans="3:58" ht="13.5" thickBot="1">
      <c r="C355" s="4" t="str">
        <f>C349</f>
        <v>Intercept</v>
      </c>
      <c r="AT355" s="26">
        <f>9583.33+73528.13</f>
        <v>83111.46</v>
      </c>
      <c r="AU355" s="26">
        <f>9583.33+73528.13</f>
        <v>83111.46</v>
      </c>
      <c r="AV355" s="26">
        <f>9583.33+73528.13</f>
        <v>83111.46</v>
      </c>
      <c r="AW355" s="26">
        <f>9583.33+73528.13</f>
        <v>83111.46</v>
      </c>
      <c r="AX355" s="26">
        <f>10416.67+72737.5</f>
        <v>83154.17</v>
      </c>
      <c r="AY355" s="26">
        <f aca="true" t="shared" si="81" ref="AY355:BE355">10416.67+72737.5</f>
        <v>83154.17</v>
      </c>
      <c r="AZ355" s="26">
        <f t="shared" si="81"/>
        <v>83154.17</v>
      </c>
      <c r="BA355" s="26">
        <f t="shared" si="81"/>
        <v>83154.17</v>
      </c>
      <c r="BB355" s="26">
        <f t="shared" si="81"/>
        <v>83154.17</v>
      </c>
      <c r="BC355" s="26">
        <f t="shared" si="81"/>
        <v>83154.17</v>
      </c>
      <c r="BD355" s="26">
        <f t="shared" si="81"/>
        <v>83154.17</v>
      </c>
      <c r="BE355" s="44">
        <f t="shared" si="81"/>
        <v>83154.17</v>
      </c>
      <c r="BF355" s="26">
        <f>SUM(AT355:BE355)</f>
        <v>997679.2000000002</v>
      </c>
    </row>
    <row r="356" spans="3:58" ht="13.5" thickBot="1">
      <c r="C356" s="6" t="s">
        <v>122</v>
      </c>
      <c r="AT356" s="27">
        <f aca="true" t="shared" si="82" ref="AT356:BF356">SUM(AT353:AT355)</f>
        <v>83361.46</v>
      </c>
      <c r="AU356" s="27">
        <f t="shared" si="82"/>
        <v>83111.46</v>
      </c>
      <c r="AV356" s="27">
        <f t="shared" si="82"/>
        <v>83111.46</v>
      </c>
      <c r="AW356" s="27">
        <f t="shared" si="82"/>
        <v>83111.46</v>
      </c>
      <c r="AX356" s="27">
        <f t="shared" si="82"/>
        <v>83154.17</v>
      </c>
      <c r="AY356" s="27">
        <f t="shared" si="82"/>
        <v>83154.17</v>
      </c>
      <c r="AZ356" s="27">
        <f t="shared" si="82"/>
        <v>83154.17</v>
      </c>
      <c r="BA356" s="27">
        <f t="shared" si="82"/>
        <v>83154.17</v>
      </c>
      <c r="BB356" s="27">
        <f t="shared" si="82"/>
        <v>83154.17</v>
      </c>
      <c r="BC356" s="27">
        <f t="shared" si="82"/>
        <v>83154.17</v>
      </c>
      <c r="BD356" s="27">
        <f t="shared" si="82"/>
        <v>83154.17</v>
      </c>
      <c r="BE356" s="45">
        <f t="shared" si="82"/>
        <v>83154.17</v>
      </c>
      <c r="BF356" s="31">
        <f t="shared" si="82"/>
        <v>997929.2000000002</v>
      </c>
    </row>
    <row r="357" ht="12.75">
      <c r="C357" s="12"/>
    </row>
    <row r="358" spans="1:3" ht="21">
      <c r="A358" s="16">
        <f>+A352+1</f>
        <v>41</v>
      </c>
      <c r="B358" s="17"/>
      <c r="C358" s="5" t="s">
        <v>123</v>
      </c>
    </row>
    <row r="359" spans="3:58" ht="12.75">
      <c r="C359" s="4" t="str">
        <f>C353</f>
        <v>Debt Reserve</v>
      </c>
      <c r="AT359" s="26">
        <v>1156.25</v>
      </c>
      <c r="AU359" s="26">
        <v>1156.25</v>
      </c>
      <c r="AV359" s="26">
        <v>1156.25</v>
      </c>
      <c r="AW359" s="26">
        <v>1156.25</v>
      </c>
      <c r="AX359" s="26">
        <v>1139.58</v>
      </c>
      <c r="AY359" s="26">
        <v>1139.58</v>
      </c>
      <c r="AZ359" s="26">
        <v>1139.58</v>
      </c>
      <c r="BA359" s="26">
        <v>1139.58</v>
      </c>
      <c r="BB359" s="26">
        <v>1139.58</v>
      </c>
      <c r="BC359" s="26">
        <v>1139.58</v>
      </c>
      <c r="BD359" s="26">
        <v>1139.58</v>
      </c>
      <c r="BE359" s="44">
        <v>1139.58</v>
      </c>
      <c r="BF359" s="26">
        <f>SUM(AT359:BE359)</f>
        <v>13741.64</v>
      </c>
    </row>
    <row r="360" spans="3:58" ht="12.75">
      <c r="C360" s="4" t="str">
        <f>C354</f>
        <v>Treasury Fee</v>
      </c>
      <c r="AT360" s="32">
        <v>250</v>
      </c>
      <c r="BF360" s="26">
        <f>SUM(AT360:BE360)</f>
        <v>250</v>
      </c>
    </row>
    <row r="361" spans="3:58" ht="13.5" thickBot="1">
      <c r="C361" s="4" t="str">
        <f>C355</f>
        <v>Intercept</v>
      </c>
      <c r="AT361" s="26">
        <f>16666.67+78701.04</f>
        <v>95367.70999999999</v>
      </c>
      <c r="AU361" s="26">
        <f>16666.67+78701.04</f>
        <v>95367.70999999999</v>
      </c>
      <c r="AV361" s="26">
        <f>16666.67+78701.04</f>
        <v>95367.70999999999</v>
      </c>
      <c r="AW361" s="26">
        <f>16666.67+78701.04</f>
        <v>95367.70999999999</v>
      </c>
      <c r="AX361" s="26">
        <f>17500+77742.71</f>
        <v>95242.71</v>
      </c>
      <c r="AY361" s="26">
        <f aca="true" t="shared" si="83" ref="AY361:BE361">17500+77742.71</f>
        <v>95242.71</v>
      </c>
      <c r="AZ361" s="26">
        <f t="shared" si="83"/>
        <v>95242.71</v>
      </c>
      <c r="BA361" s="26">
        <f t="shared" si="83"/>
        <v>95242.71</v>
      </c>
      <c r="BB361" s="26">
        <f t="shared" si="83"/>
        <v>95242.71</v>
      </c>
      <c r="BC361" s="26">
        <f t="shared" si="83"/>
        <v>95242.71</v>
      </c>
      <c r="BD361" s="26">
        <f t="shared" si="83"/>
        <v>95242.71</v>
      </c>
      <c r="BE361" s="44">
        <f t="shared" si="83"/>
        <v>95242.71</v>
      </c>
      <c r="BF361" s="26">
        <f>SUM(AT361:BE361)</f>
        <v>1143412.5199999998</v>
      </c>
    </row>
    <row r="362" spans="3:58" ht="13.5" thickBot="1">
      <c r="C362" s="6" t="s">
        <v>124</v>
      </c>
      <c r="AT362" s="27">
        <f aca="true" t="shared" si="84" ref="AT362:BF362">SUM(AT359:AT361)</f>
        <v>96773.95999999999</v>
      </c>
      <c r="AU362" s="27">
        <f t="shared" si="84"/>
        <v>96523.95999999999</v>
      </c>
      <c r="AV362" s="27">
        <f t="shared" si="84"/>
        <v>96523.95999999999</v>
      </c>
      <c r="AW362" s="27">
        <f t="shared" si="84"/>
        <v>96523.95999999999</v>
      </c>
      <c r="AX362" s="27">
        <f t="shared" si="84"/>
        <v>96382.29000000001</v>
      </c>
      <c r="AY362" s="27">
        <f t="shared" si="84"/>
        <v>96382.29000000001</v>
      </c>
      <c r="AZ362" s="27">
        <f t="shared" si="84"/>
        <v>96382.29000000001</v>
      </c>
      <c r="BA362" s="27">
        <f t="shared" si="84"/>
        <v>96382.29000000001</v>
      </c>
      <c r="BB362" s="27">
        <f t="shared" si="84"/>
        <v>96382.29000000001</v>
      </c>
      <c r="BC362" s="27">
        <f t="shared" si="84"/>
        <v>96382.29000000001</v>
      </c>
      <c r="BD362" s="27">
        <f t="shared" si="84"/>
        <v>96382.29000000001</v>
      </c>
      <c r="BE362" s="45">
        <f t="shared" si="84"/>
        <v>96382.29000000001</v>
      </c>
      <c r="BF362" s="31">
        <f t="shared" si="84"/>
        <v>1157404.1599999997</v>
      </c>
    </row>
    <row r="363" ht="12.75">
      <c r="C363" s="12"/>
    </row>
    <row r="364" spans="1:3" ht="21">
      <c r="A364" s="16">
        <f>+A358+1</f>
        <v>42</v>
      </c>
      <c r="B364" s="17"/>
      <c r="C364" s="5" t="s">
        <v>125</v>
      </c>
    </row>
    <row r="365" spans="1:58" ht="12.75">
      <c r="A365" s="20"/>
      <c r="B365" s="20"/>
      <c r="C365" s="4" t="str">
        <f>C359</f>
        <v>Debt Reserve</v>
      </c>
      <c r="AT365" s="26">
        <v>1026.67</v>
      </c>
      <c r="AU365" s="26">
        <v>1026.67</v>
      </c>
      <c r="AV365" s="26">
        <v>1026.67</v>
      </c>
      <c r="AW365" s="26">
        <v>1026.67</v>
      </c>
      <c r="AX365" s="26">
        <v>1026.67</v>
      </c>
      <c r="AY365" s="26">
        <v>1013.33</v>
      </c>
      <c r="AZ365" s="26">
        <v>1013.33</v>
      </c>
      <c r="BA365" s="26">
        <v>1013.33</v>
      </c>
      <c r="BB365" s="26">
        <v>1013.33</v>
      </c>
      <c r="BC365" s="26">
        <v>1013.33</v>
      </c>
      <c r="BD365" s="26">
        <v>1013.33</v>
      </c>
      <c r="BE365" s="44">
        <v>1013.33</v>
      </c>
      <c r="BF365" s="26">
        <f>SUM(AT365:BE365)</f>
        <v>12226.66</v>
      </c>
    </row>
    <row r="366" spans="3:58" ht="12.75">
      <c r="C366" s="4" t="str">
        <f>C360</f>
        <v>Treasury Fee</v>
      </c>
      <c r="AT366" s="32">
        <v>250</v>
      </c>
      <c r="BF366" s="26">
        <f>SUM(AT366:BE366)</f>
        <v>250</v>
      </c>
    </row>
    <row r="367" spans="3:58" ht="13.5" thickBot="1">
      <c r="C367" s="4" t="str">
        <f>C361</f>
        <v>Intercept</v>
      </c>
      <c r="AT367" s="26">
        <f>14583.33+82400.21</f>
        <v>96983.54000000001</v>
      </c>
      <c r="AU367" s="26">
        <f>14583.33+82400.21</f>
        <v>96983.54000000001</v>
      </c>
      <c r="AV367" s="26">
        <f>14583.33+82400.21</f>
        <v>96983.54000000001</v>
      </c>
      <c r="AW367" s="26">
        <f>14583.33+82400.21</f>
        <v>96983.54000000001</v>
      </c>
      <c r="AX367" s="26">
        <f>14583.33+82400.21</f>
        <v>96983.54000000001</v>
      </c>
      <c r="AY367" s="26">
        <f>15833.33+81400.21</f>
        <v>97233.54000000001</v>
      </c>
      <c r="AZ367" s="26">
        <f aca="true" t="shared" si="85" ref="AZ367:BE367">15833.33+81400.21</f>
        <v>97233.54000000001</v>
      </c>
      <c r="BA367" s="26">
        <f t="shared" si="85"/>
        <v>97233.54000000001</v>
      </c>
      <c r="BB367" s="26">
        <f t="shared" si="85"/>
        <v>97233.54000000001</v>
      </c>
      <c r="BC367" s="26">
        <f t="shared" si="85"/>
        <v>97233.54000000001</v>
      </c>
      <c r="BD367" s="26">
        <f t="shared" si="85"/>
        <v>97233.54000000001</v>
      </c>
      <c r="BE367" s="44">
        <f t="shared" si="85"/>
        <v>97233.54000000001</v>
      </c>
      <c r="BF367" s="26">
        <f>SUM(AT367:BE367)</f>
        <v>1165552.4800000002</v>
      </c>
    </row>
    <row r="368" spans="3:58" ht="13.5" thickBot="1">
      <c r="C368" s="6" t="s">
        <v>126</v>
      </c>
      <c r="AT368" s="27">
        <f aca="true" t="shared" si="86" ref="AT368:BF368">SUM(AT365:AT367)</f>
        <v>98260.21</v>
      </c>
      <c r="AU368" s="27">
        <f t="shared" si="86"/>
        <v>98010.21</v>
      </c>
      <c r="AV368" s="27">
        <f t="shared" si="86"/>
        <v>98010.21</v>
      </c>
      <c r="AW368" s="27">
        <f t="shared" si="86"/>
        <v>98010.21</v>
      </c>
      <c r="AX368" s="27">
        <f t="shared" si="86"/>
        <v>98010.21</v>
      </c>
      <c r="AY368" s="27">
        <f t="shared" si="86"/>
        <v>98246.87000000001</v>
      </c>
      <c r="AZ368" s="27">
        <f t="shared" si="86"/>
        <v>98246.87000000001</v>
      </c>
      <c r="BA368" s="27">
        <f t="shared" si="86"/>
        <v>98246.87000000001</v>
      </c>
      <c r="BB368" s="27">
        <f t="shared" si="86"/>
        <v>98246.87000000001</v>
      </c>
      <c r="BC368" s="27">
        <f t="shared" si="86"/>
        <v>98246.87000000001</v>
      </c>
      <c r="BD368" s="27">
        <f t="shared" si="86"/>
        <v>98246.87000000001</v>
      </c>
      <c r="BE368" s="45">
        <f t="shared" si="86"/>
        <v>98246.87000000001</v>
      </c>
      <c r="BF368" s="31">
        <f t="shared" si="86"/>
        <v>1178029.1400000001</v>
      </c>
    </row>
    <row r="369" ht="12.75">
      <c r="C369" s="12"/>
    </row>
    <row r="370" spans="1:3" ht="21">
      <c r="A370" s="16">
        <f>+A364+1</f>
        <v>43</v>
      </c>
      <c r="B370" s="17"/>
      <c r="C370" s="5" t="s">
        <v>127</v>
      </c>
    </row>
    <row r="371" spans="1:58" ht="12.75">
      <c r="A371" s="20"/>
      <c r="B371" s="20"/>
      <c r="C371" s="4" t="str">
        <f>C365</f>
        <v>Debt Reserve</v>
      </c>
      <c r="AT371" s="26">
        <v>0</v>
      </c>
      <c r="AU371" s="26">
        <v>0</v>
      </c>
      <c r="AV371" s="26">
        <v>0</v>
      </c>
      <c r="AW371" s="26">
        <v>0</v>
      </c>
      <c r="AX371" s="26">
        <v>0</v>
      </c>
      <c r="AY371" s="26">
        <v>0</v>
      </c>
      <c r="AZ371" s="26">
        <v>0</v>
      </c>
      <c r="BA371" s="26">
        <v>0</v>
      </c>
      <c r="BB371" s="26">
        <v>0</v>
      </c>
      <c r="BC371" s="26">
        <v>0</v>
      </c>
      <c r="BD371" s="26">
        <v>0</v>
      </c>
      <c r="BE371" s="44">
        <v>0</v>
      </c>
      <c r="BF371" s="26">
        <f>SUM(AT371:BE371)</f>
        <v>0</v>
      </c>
    </row>
    <row r="372" spans="3:58" ht="12.75">
      <c r="C372" s="4" t="str">
        <f>C366</f>
        <v>Treasury Fee</v>
      </c>
      <c r="AT372" s="32">
        <v>250</v>
      </c>
      <c r="BF372" s="26">
        <f>SUM(AT372:BE372)</f>
        <v>250</v>
      </c>
    </row>
    <row r="373" spans="3:58" ht="13.5" thickBot="1">
      <c r="C373" s="4" t="str">
        <f>C367</f>
        <v>Intercept</v>
      </c>
      <c r="AT373" s="26">
        <f>1250+9589.58</f>
        <v>10839.58</v>
      </c>
      <c r="AU373" s="26">
        <f>1250+9589.58</f>
        <v>10839.58</v>
      </c>
      <c r="AV373" s="26">
        <f>1250+9589.58</f>
        <v>10839.58</v>
      </c>
      <c r="AW373" s="26">
        <f>1666.67+9480.21</f>
        <v>11146.88</v>
      </c>
      <c r="AX373" s="26">
        <f aca="true" t="shared" si="87" ref="AX373:BE373">1666.67+9480.21</f>
        <v>11146.88</v>
      </c>
      <c r="AY373" s="26">
        <f t="shared" si="87"/>
        <v>11146.88</v>
      </c>
      <c r="AZ373" s="26">
        <f t="shared" si="87"/>
        <v>11146.88</v>
      </c>
      <c r="BA373" s="26">
        <f t="shared" si="87"/>
        <v>11146.88</v>
      </c>
      <c r="BB373" s="26">
        <f t="shared" si="87"/>
        <v>11146.88</v>
      </c>
      <c r="BC373" s="26">
        <f t="shared" si="87"/>
        <v>11146.88</v>
      </c>
      <c r="BD373" s="26">
        <f t="shared" si="87"/>
        <v>11146.88</v>
      </c>
      <c r="BE373" s="44">
        <f t="shared" si="87"/>
        <v>11146.88</v>
      </c>
      <c r="BF373" s="26">
        <f>SUM(AT373:BE373)</f>
        <v>132840.66</v>
      </c>
    </row>
    <row r="374" spans="3:58" ht="13.5" thickBot="1">
      <c r="C374" s="6" t="s">
        <v>100</v>
      </c>
      <c r="AT374" s="27">
        <f aca="true" t="shared" si="88" ref="AT374:BF374">SUM(AT371:AT373)</f>
        <v>11089.58</v>
      </c>
      <c r="AU374" s="27">
        <f t="shared" si="88"/>
        <v>10839.58</v>
      </c>
      <c r="AV374" s="27">
        <f t="shared" si="88"/>
        <v>10839.58</v>
      </c>
      <c r="AW374" s="27">
        <f t="shared" si="88"/>
        <v>11146.88</v>
      </c>
      <c r="AX374" s="27">
        <f t="shared" si="88"/>
        <v>11146.88</v>
      </c>
      <c r="AY374" s="27">
        <f t="shared" si="88"/>
        <v>11146.88</v>
      </c>
      <c r="AZ374" s="27">
        <f t="shared" si="88"/>
        <v>11146.88</v>
      </c>
      <c r="BA374" s="27">
        <f t="shared" si="88"/>
        <v>11146.88</v>
      </c>
      <c r="BB374" s="27">
        <f t="shared" si="88"/>
        <v>11146.88</v>
      </c>
      <c r="BC374" s="27">
        <f t="shared" si="88"/>
        <v>11146.88</v>
      </c>
      <c r="BD374" s="27">
        <f t="shared" si="88"/>
        <v>11146.88</v>
      </c>
      <c r="BE374" s="45">
        <f t="shared" si="88"/>
        <v>11146.88</v>
      </c>
      <c r="BF374" s="31">
        <f t="shared" si="88"/>
        <v>133090.66</v>
      </c>
    </row>
    <row r="375" ht="12.75">
      <c r="C375" s="12"/>
    </row>
    <row r="376" spans="1:3" ht="21">
      <c r="A376" s="16">
        <f>+A370+1</f>
        <v>44</v>
      </c>
      <c r="B376" s="17"/>
      <c r="C376" s="5" t="s">
        <v>130</v>
      </c>
    </row>
    <row r="377" spans="1:58" ht="12.75">
      <c r="A377" s="20"/>
      <c r="B377" s="20"/>
      <c r="C377" s="4" t="str">
        <f>C371</f>
        <v>Debt Reserve</v>
      </c>
      <c r="AT377" s="26">
        <v>627.08</v>
      </c>
      <c r="AU377" s="26">
        <v>627.08</v>
      </c>
      <c r="AV377" s="26">
        <v>627.08</v>
      </c>
      <c r="AW377" s="26">
        <v>615.42</v>
      </c>
      <c r="AX377" s="26">
        <v>615.42</v>
      </c>
      <c r="AY377" s="26">
        <v>615.42</v>
      </c>
      <c r="AZ377" s="26">
        <v>615.42</v>
      </c>
      <c r="BA377" s="26">
        <v>615.42</v>
      </c>
      <c r="BB377" s="26">
        <v>615.42</v>
      </c>
      <c r="BC377" s="26">
        <v>615.42</v>
      </c>
      <c r="BD377" s="26">
        <v>615.42</v>
      </c>
      <c r="BE377" s="44">
        <v>615.42</v>
      </c>
      <c r="BF377" s="26">
        <f>SUM(AT377:BE377)</f>
        <v>7420.02</v>
      </c>
    </row>
    <row r="378" spans="3:58" ht="12.75">
      <c r="C378" s="4" t="str">
        <f>C372</f>
        <v>Treasury Fee</v>
      </c>
      <c r="AT378" s="32">
        <v>250</v>
      </c>
      <c r="BF378" s="26">
        <f>SUM(AT378:BE378)</f>
        <v>250</v>
      </c>
    </row>
    <row r="379" spans="3:58" ht="13.5" thickBot="1">
      <c r="C379" s="4" t="str">
        <f>C373</f>
        <v>Intercept</v>
      </c>
      <c r="AT379" s="26">
        <f>11666.67+29429.17</f>
        <v>41095.84</v>
      </c>
      <c r="AU379" s="26">
        <f aca="true" t="shared" si="89" ref="AU379:BE379">11666.67+29429.17</f>
        <v>41095.84</v>
      </c>
      <c r="AV379" s="26">
        <f t="shared" si="89"/>
        <v>41095.84</v>
      </c>
      <c r="AW379" s="26">
        <f t="shared" si="89"/>
        <v>41095.84</v>
      </c>
      <c r="AX379" s="26">
        <f t="shared" si="89"/>
        <v>41095.84</v>
      </c>
      <c r="AY379" s="26">
        <f t="shared" si="89"/>
        <v>41095.84</v>
      </c>
      <c r="AZ379" s="26">
        <f t="shared" si="89"/>
        <v>41095.84</v>
      </c>
      <c r="BA379" s="26">
        <f t="shared" si="89"/>
        <v>41095.84</v>
      </c>
      <c r="BB379" s="26">
        <f t="shared" si="89"/>
        <v>41095.84</v>
      </c>
      <c r="BC379" s="26">
        <f t="shared" si="89"/>
        <v>41095.84</v>
      </c>
      <c r="BD379" s="26">
        <f t="shared" si="89"/>
        <v>41095.84</v>
      </c>
      <c r="BE379" s="44">
        <f t="shared" si="89"/>
        <v>41095.84</v>
      </c>
      <c r="BF379" s="26">
        <f>SUM(AT379:BE379)</f>
        <v>493150.07999999984</v>
      </c>
    </row>
    <row r="380" spans="3:58" ht="13.5" thickBot="1">
      <c r="C380" s="6" t="s">
        <v>131</v>
      </c>
      <c r="AT380" s="27">
        <f aca="true" t="shared" si="90" ref="AT380:BF380">SUM(AT377:AT379)</f>
        <v>41972.92</v>
      </c>
      <c r="AU380" s="27">
        <f t="shared" si="90"/>
        <v>41722.92</v>
      </c>
      <c r="AV380" s="27">
        <f t="shared" si="90"/>
        <v>41722.92</v>
      </c>
      <c r="AW380" s="27">
        <f t="shared" si="90"/>
        <v>41711.259999999995</v>
      </c>
      <c r="AX380" s="27">
        <f t="shared" si="90"/>
        <v>41711.259999999995</v>
      </c>
      <c r="AY380" s="27">
        <f t="shared" si="90"/>
        <v>41711.259999999995</v>
      </c>
      <c r="AZ380" s="27">
        <f t="shared" si="90"/>
        <v>41711.259999999995</v>
      </c>
      <c r="BA380" s="27">
        <f t="shared" si="90"/>
        <v>41711.259999999995</v>
      </c>
      <c r="BB380" s="27">
        <f t="shared" si="90"/>
        <v>41711.259999999995</v>
      </c>
      <c r="BC380" s="27">
        <f t="shared" si="90"/>
        <v>41711.259999999995</v>
      </c>
      <c r="BD380" s="27">
        <f t="shared" si="90"/>
        <v>41711.259999999995</v>
      </c>
      <c r="BE380" s="45">
        <f t="shared" si="90"/>
        <v>41711.259999999995</v>
      </c>
      <c r="BF380" s="31">
        <f t="shared" si="90"/>
        <v>500820.09999999986</v>
      </c>
    </row>
    <row r="381" ht="12.75">
      <c r="C381" s="12"/>
    </row>
    <row r="382" spans="1:3" ht="21">
      <c r="A382" s="16">
        <f>+A376+1</f>
        <v>45</v>
      </c>
      <c r="B382" s="37" t="s">
        <v>107</v>
      </c>
      <c r="C382" s="36" t="s">
        <v>132</v>
      </c>
    </row>
    <row r="383" spans="1:58" ht="12.75">
      <c r="A383" s="20"/>
      <c r="B383" s="20"/>
      <c r="C383" s="4" t="str">
        <f>C377</f>
        <v>Debt Reserve</v>
      </c>
      <c r="AT383" s="26">
        <v>1043.75</v>
      </c>
      <c r="AU383" s="26">
        <v>1043.75</v>
      </c>
      <c r="AV383" s="26">
        <v>1043.75</v>
      </c>
      <c r="AW383" s="26">
        <v>1043.75</v>
      </c>
      <c r="AX383" s="26">
        <v>1043.75</v>
      </c>
      <c r="AY383" s="26">
        <v>1043.75</v>
      </c>
      <c r="AZ383" s="26">
        <v>1025.42</v>
      </c>
      <c r="BA383" s="26">
        <v>1025.42</v>
      </c>
      <c r="BB383" s="26">
        <v>1025.42</v>
      </c>
      <c r="BC383" s="26">
        <v>1025.42</v>
      </c>
      <c r="BD383" s="26">
        <v>1025.42</v>
      </c>
      <c r="BE383" s="44">
        <v>1025.42</v>
      </c>
      <c r="BF383" s="26">
        <f>SUM(AT383:BE383)</f>
        <v>12415.02</v>
      </c>
    </row>
    <row r="384" spans="3:58" ht="12.75">
      <c r="C384" s="4" t="str">
        <f>C378</f>
        <v>Treasury Fee</v>
      </c>
      <c r="AT384" s="32">
        <v>250</v>
      </c>
      <c r="BF384" s="26">
        <f>SUM(AT384:BE384)</f>
        <v>250</v>
      </c>
    </row>
    <row r="385" spans="3:58" ht="13.5" thickBot="1">
      <c r="C385" s="4" t="str">
        <f>C379</f>
        <v>Intercept</v>
      </c>
      <c r="AT385" s="26">
        <f>18333.33+51500</f>
        <v>69833.33</v>
      </c>
      <c r="AU385" s="26">
        <f>18333.33+51500</f>
        <v>69833.33</v>
      </c>
      <c r="AV385" s="26">
        <f>18333.33+51500</f>
        <v>69833.33</v>
      </c>
      <c r="AW385" s="26">
        <f>18333.33+51500</f>
        <v>69833.33</v>
      </c>
      <c r="AX385" s="26">
        <f>18333.33+51500</f>
        <v>69833.33</v>
      </c>
      <c r="AY385" s="26">
        <f>19166.67+50950</f>
        <v>70116.67</v>
      </c>
      <c r="AZ385" s="26">
        <f aca="true" t="shared" si="91" ref="AZ385:BE385">19166.67+50950</f>
        <v>70116.67</v>
      </c>
      <c r="BA385" s="26">
        <f t="shared" si="91"/>
        <v>70116.67</v>
      </c>
      <c r="BB385" s="26">
        <f t="shared" si="91"/>
        <v>70116.67</v>
      </c>
      <c r="BC385" s="26">
        <f t="shared" si="91"/>
        <v>70116.67</v>
      </c>
      <c r="BD385" s="26">
        <f t="shared" si="91"/>
        <v>70116.67</v>
      </c>
      <c r="BE385" s="44">
        <f t="shared" si="91"/>
        <v>70116.67</v>
      </c>
      <c r="BF385" s="26">
        <f>SUM(AT385:BE385)</f>
        <v>839983.3400000002</v>
      </c>
    </row>
    <row r="386" spans="3:58" ht="13.5" thickBot="1">
      <c r="C386" s="6" t="s">
        <v>133</v>
      </c>
      <c r="AT386" s="27">
        <f aca="true" t="shared" si="92" ref="AT386:BF386">SUM(AT383:AT385)</f>
        <v>71127.08</v>
      </c>
      <c r="AU386" s="27">
        <f t="shared" si="92"/>
        <v>70877.08</v>
      </c>
      <c r="AV386" s="27">
        <f t="shared" si="92"/>
        <v>70877.08</v>
      </c>
      <c r="AW386" s="27">
        <f t="shared" si="92"/>
        <v>70877.08</v>
      </c>
      <c r="AX386" s="27">
        <f t="shared" si="92"/>
        <v>70877.08</v>
      </c>
      <c r="AY386" s="27">
        <f t="shared" si="92"/>
        <v>71160.42</v>
      </c>
      <c r="AZ386" s="27">
        <f t="shared" si="92"/>
        <v>71142.09</v>
      </c>
      <c r="BA386" s="27">
        <f t="shared" si="92"/>
        <v>71142.09</v>
      </c>
      <c r="BB386" s="27">
        <f t="shared" si="92"/>
        <v>71142.09</v>
      </c>
      <c r="BC386" s="27">
        <f t="shared" si="92"/>
        <v>71142.09</v>
      </c>
      <c r="BD386" s="27">
        <f t="shared" si="92"/>
        <v>71142.09</v>
      </c>
      <c r="BE386" s="45">
        <f t="shared" si="92"/>
        <v>71142.09</v>
      </c>
      <c r="BF386" s="31">
        <f t="shared" si="92"/>
        <v>852648.3600000002</v>
      </c>
    </row>
    <row r="387" ht="12.75">
      <c r="C387" s="12"/>
    </row>
    <row r="388" spans="1:3" ht="21">
      <c r="A388" s="16">
        <f>+A382+1</f>
        <v>46</v>
      </c>
      <c r="B388" s="37" t="s">
        <v>107</v>
      </c>
      <c r="C388" s="36" t="s">
        <v>134</v>
      </c>
    </row>
    <row r="389" spans="1:58" ht="12.75">
      <c r="A389" s="20"/>
      <c r="B389" s="20"/>
      <c r="C389" s="4" t="str">
        <f>C383</f>
        <v>Debt Reserve</v>
      </c>
      <c r="AT389" s="26">
        <v>973.33</v>
      </c>
      <c r="AU389" s="26">
        <v>973.33</v>
      </c>
      <c r="AV389" s="26">
        <v>973.33</v>
      </c>
      <c r="AW389" s="26">
        <v>973.33</v>
      </c>
      <c r="AX389" s="26">
        <v>973.33</v>
      </c>
      <c r="AY389" s="26">
        <v>973.33</v>
      </c>
      <c r="AZ389" s="26">
        <v>973.33</v>
      </c>
      <c r="BA389" s="26">
        <v>973.33</v>
      </c>
      <c r="BB389" s="26">
        <v>956.25</v>
      </c>
      <c r="BC389" s="26">
        <v>956.25</v>
      </c>
      <c r="BD389" s="26">
        <v>956.25</v>
      </c>
      <c r="BE389" s="44">
        <v>956.25</v>
      </c>
      <c r="BF389" s="26">
        <f>SUM(AT389:BE389)</f>
        <v>11611.64</v>
      </c>
    </row>
    <row r="390" spans="3:58" ht="12.75">
      <c r="C390" s="4" t="str">
        <f>C384</f>
        <v>Treasury Fee</v>
      </c>
      <c r="AT390" s="32">
        <v>250</v>
      </c>
      <c r="BF390" s="26">
        <f>SUM(AT390:BE390)</f>
        <v>250</v>
      </c>
    </row>
    <row r="391" spans="3:58" ht="13.5" thickBot="1">
      <c r="C391" s="4" t="str">
        <f>C385</f>
        <v>Intercept</v>
      </c>
      <c r="AT391" s="32">
        <f aca="true" t="shared" si="93" ref="AT391:BA391">17083.33+50484.38</f>
        <v>67567.70999999999</v>
      </c>
      <c r="AU391" s="32">
        <f t="shared" si="93"/>
        <v>67567.70999999999</v>
      </c>
      <c r="AV391" s="32">
        <f t="shared" si="93"/>
        <v>67567.70999999999</v>
      </c>
      <c r="AW391" s="32">
        <f t="shared" si="93"/>
        <v>67567.70999999999</v>
      </c>
      <c r="AX391" s="32">
        <f t="shared" si="93"/>
        <v>67567.70999999999</v>
      </c>
      <c r="AY391" s="32">
        <f t="shared" si="93"/>
        <v>67567.70999999999</v>
      </c>
      <c r="AZ391" s="32">
        <f t="shared" si="93"/>
        <v>67567.70999999999</v>
      </c>
      <c r="BA391" s="32">
        <f t="shared" si="93"/>
        <v>67567.70999999999</v>
      </c>
      <c r="BB391" s="26">
        <f>17500+49886.46</f>
        <v>67386.45999999999</v>
      </c>
      <c r="BC391" s="26">
        <f>17500+49886.46</f>
        <v>67386.45999999999</v>
      </c>
      <c r="BD391" s="26">
        <f>17500+49886.46</f>
        <v>67386.45999999999</v>
      </c>
      <c r="BE391" s="44">
        <f>17500+49886.46</f>
        <v>67386.45999999999</v>
      </c>
      <c r="BF391" s="26">
        <f>SUM(AT391:BE391)</f>
        <v>810087.5199999997</v>
      </c>
    </row>
    <row r="392" spans="3:58" ht="13.5" thickBot="1">
      <c r="C392" s="6" t="s">
        <v>135</v>
      </c>
      <c r="AT392" s="27">
        <f aca="true" t="shared" si="94" ref="AT392:BF392">SUM(AT389:AT391)</f>
        <v>68791.04</v>
      </c>
      <c r="AU392" s="27">
        <f t="shared" si="94"/>
        <v>68541.04</v>
      </c>
      <c r="AV392" s="27">
        <f t="shared" si="94"/>
        <v>68541.04</v>
      </c>
      <c r="AW392" s="27">
        <f t="shared" si="94"/>
        <v>68541.04</v>
      </c>
      <c r="AX392" s="27">
        <f t="shared" si="94"/>
        <v>68541.04</v>
      </c>
      <c r="AY392" s="27">
        <f t="shared" si="94"/>
        <v>68541.04</v>
      </c>
      <c r="AZ392" s="27">
        <f t="shared" si="94"/>
        <v>68541.04</v>
      </c>
      <c r="BA392" s="27">
        <f t="shared" si="94"/>
        <v>68541.04</v>
      </c>
      <c r="BB392" s="27">
        <f t="shared" si="94"/>
        <v>68342.70999999999</v>
      </c>
      <c r="BC392" s="27">
        <f t="shared" si="94"/>
        <v>68342.70999999999</v>
      </c>
      <c r="BD392" s="27">
        <f t="shared" si="94"/>
        <v>68342.70999999999</v>
      </c>
      <c r="BE392" s="45">
        <f t="shared" si="94"/>
        <v>68342.70999999999</v>
      </c>
      <c r="BF392" s="31">
        <f t="shared" si="94"/>
        <v>821949.1599999997</v>
      </c>
    </row>
    <row r="393" ht="12.75">
      <c r="C393" s="12"/>
    </row>
    <row r="394" spans="1:3" ht="21">
      <c r="A394" s="16">
        <f>+A388+1</f>
        <v>47</v>
      </c>
      <c r="B394" s="37" t="s">
        <v>107</v>
      </c>
      <c r="C394" s="36" t="s">
        <v>136</v>
      </c>
    </row>
    <row r="395" spans="1:58" ht="12.75">
      <c r="A395" s="20"/>
      <c r="B395" s="20"/>
      <c r="C395" s="4" t="str">
        <f>C389</f>
        <v>Debt Reserve</v>
      </c>
      <c r="AT395" s="26">
        <v>585.42</v>
      </c>
      <c r="AU395" s="26">
        <v>585.42</v>
      </c>
      <c r="AV395" s="26">
        <v>585.42</v>
      </c>
      <c r="AW395" s="26">
        <v>585.42</v>
      </c>
      <c r="AX395" s="26">
        <v>585.42</v>
      </c>
      <c r="AY395" s="26">
        <v>585.42</v>
      </c>
      <c r="AZ395" s="26">
        <v>585.42</v>
      </c>
      <c r="BA395" s="26">
        <v>585.42</v>
      </c>
      <c r="BB395" s="26">
        <v>585.42</v>
      </c>
      <c r="BC395" s="26">
        <v>585.42</v>
      </c>
      <c r="BD395" s="26">
        <v>585.42</v>
      </c>
      <c r="BE395" s="44">
        <v>575.42</v>
      </c>
      <c r="BF395" s="26">
        <f>SUM(AT395:BE395)</f>
        <v>7015.04</v>
      </c>
    </row>
    <row r="396" spans="3:58" ht="12.75">
      <c r="C396" s="4" t="str">
        <f>C390</f>
        <v>Treasury Fee</v>
      </c>
      <c r="AT396" s="32">
        <v>250</v>
      </c>
      <c r="BF396" s="26">
        <f>SUM(AT396:BE396)</f>
        <v>250</v>
      </c>
    </row>
    <row r="397" spans="3:58" ht="13.5" thickBot="1">
      <c r="C397" s="4" t="str">
        <f>C391</f>
        <v>Intercept</v>
      </c>
      <c r="AT397" s="26">
        <f>10000+31789.58+1562.5</f>
        <v>43352.08</v>
      </c>
      <c r="AU397" s="26">
        <f aca="true" t="shared" si="95" ref="AU397:AZ397">10000+31789.58+1562.5</f>
        <v>43352.08</v>
      </c>
      <c r="AV397" s="26">
        <f t="shared" si="95"/>
        <v>43352.08</v>
      </c>
      <c r="AW397" s="26">
        <f t="shared" si="95"/>
        <v>43352.08</v>
      </c>
      <c r="AX397" s="26">
        <f t="shared" si="95"/>
        <v>43352.08</v>
      </c>
      <c r="AY397" s="26">
        <f t="shared" si="95"/>
        <v>43352.08</v>
      </c>
      <c r="AZ397" s="26">
        <f t="shared" si="95"/>
        <v>43352.08</v>
      </c>
      <c r="BA397" s="26">
        <f>10000+31789.58</f>
        <v>41789.58</v>
      </c>
      <c r="BB397" s="26">
        <f>10000+31789.58</f>
        <v>41789.58</v>
      </c>
      <c r="BC397" s="26">
        <f>10000+31789.58</f>
        <v>41789.58</v>
      </c>
      <c r="BD397" s="26">
        <f>10000+31789.58</f>
        <v>41789.58</v>
      </c>
      <c r="BE397" s="44">
        <f>10000+31789.58</f>
        <v>41789.58</v>
      </c>
      <c r="BF397" s="26">
        <f>SUM(AT397:BE397)</f>
        <v>512412.46000000014</v>
      </c>
    </row>
    <row r="398" spans="3:58" ht="13.5" thickBot="1">
      <c r="C398" s="6" t="s">
        <v>137</v>
      </c>
      <c r="AT398" s="27">
        <f aca="true" t="shared" si="96" ref="AT398:BF398">SUM(AT395:AT397)</f>
        <v>44187.5</v>
      </c>
      <c r="AU398" s="27">
        <f t="shared" si="96"/>
        <v>43937.5</v>
      </c>
      <c r="AV398" s="27">
        <f t="shared" si="96"/>
        <v>43937.5</v>
      </c>
      <c r="AW398" s="27">
        <f t="shared" si="96"/>
        <v>43937.5</v>
      </c>
      <c r="AX398" s="27">
        <f t="shared" si="96"/>
        <v>43937.5</v>
      </c>
      <c r="AY398" s="27">
        <f t="shared" si="96"/>
        <v>43937.5</v>
      </c>
      <c r="AZ398" s="27">
        <f t="shared" si="96"/>
        <v>43937.5</v>
      </c>
      <c r="BA398" s="27">
        <f t="shared" si="96"/>
        <v>42375</v>
      </c>
      <c r="BB398" s="27">
        <f t="shared" si="96"/>
        <v>42375</v>
      </c>
      <c r="BC398" s="27">
        <f t="shared" si="96"/>
        <v>42375</v>
      </c>
      <c r="BD398" s="27">
        <f t="shared" si="96"/>
        <v>42375</v>
      </c>
      <c r="BE398" s="45">
        <f t="shared" si="96"/>
        <v>42365</v>
      </c>
      <c r="BF398" s="31">
        <f t="shared" si="96"/>
        <v>519677.5000000001</v>
      </c>
    </row>
    <row r="399" ht="12.75">
      <c r="C399" s="12"/>
    </row>
    <row r="400" spans="1:3" ht="21">
      <c r="A400" s="16">
        <f>+A394+1</f>
        <v>48</v>
      </c>
      <c r="B400" s="21"/>
      <c r="C400" s="5" t="s">
        <v>139</v>
      </c>
    </row>
    <row r="401" spans="1:58" ht="12.75">
      <c r="A401" s="20"/>
      <c r="B401" s="20"/>
      <c r="C401" s="4" t="str">
        <f>C395</f>
        <v>Debt Reserve</v>
      </c>
      <c r="AT401" s="26">
        <v>525.42</v>
      </c>
      <c r="AU401" s="26">
        <v>525.42</v>
      </c>
      <c r="AV401" s="26">
        <v>525.42</v>
      </c>
      <c r="AW401" s="26">
        <v>525.42</v>
      </c>
      <c r="AX401" s="26">
        <v>525.42</v>
      </c>
      <c r="AY401" s="26">
        <v>525.42</v>
      </c>
      <c r="AZ401" s="26">
        <v>525.42</v>
      </c>
      <c r="BA401" s="26">
        <v>525.42</v>
      </c>
      <c r="BB401" s="26">
        <v>525.42</v>
      </c>
      <c r="BC401" s="26">
        <v>525.42</v>
      </c>
      <c r="BD401" s="26">
        <v>525.42</v>
      </c>
      <c r="BE401" s="44">
        <v>525.42</v>
      </c>
      <c r="BF401" s="26">
        <f>SUM(AT401:BE401)</f>
        <v>6305.04</v>
      </c>
    </row>
    <row r="402" spans="3:58" ht="12.75">
      <c r="C402" s="4" t="str">
        <f>C396</f>
        <v>Treasury Fee</v>
      </c>
      <c r="AT402" s="32">
        <v>250</v>
      </c>
      <c r="BF402" s="26">
        <f>SUM(AT402:BE402)</f>
        <v>250</v>
      </c>
    </row>
    <row r="403" spans="3:58" ht="13.5" thickBot="1">
      <c r="C403" s="4" t="str">
        <f>C397</f>
        <v>Intercept</v>
      </c>
      <c r="AT403" s="26">
        <f aca="true" t="shared" si="97" ref="AT403:BD403">9166.67+29208.86</f>
        <v>38375.53</v>
      </c>
      <c r="AU403" s="26">
        <f t="shared" si="97"/>
        <v>38375.53</v>
      </c>
      <c r="AV403" s="26">
        <f t="shared" si="97"/>
        <v>38375.53</v>
      </c>
      <c r="AW403" s="26">
        <f t="shared" si="97"/>
        <v>38375.53</v>
      </c>
      <c r="AX403" s="26">
        <f t="shared" si="97"/>
        <v>38375.53</v>
      </c>
      <c r="AY403" s="26">
        <f t="shared" si="97"/>
        <v>38375.53</v>
      </c>
      <c r="AZ403" s="26">
        <f t="shared" si="97"/>
        <v>38375.53</v>
      </c>
      <c r="BA403" s="26">
        <f t="shared" si="97"/>
        <v>38375.53</v>
      </c>
      <c r="BB403" s="26">
        <f t="shared" si="97"/>
        <v>38375.53</v>
      </c>
      <c r="BC403" s="26">
        <f t="shared" si="97"/>
        <v>38375.53</v>
      </c>
      <c r="BD403" s="26">
        <f t="shared" si="97"/>
        <v>38375.53</v>
      </c>
      <c r="BE403" s="44">
        <f>9166.67+28842.19</f>
        <v>38008.86</v>
      </c>
      <c r="BF403" s="26">
        <f>SUM(AT403:BE403)</f>
        <v>460139.69000000006</v>
      </c>
    </row>
    <row r="404" spans="3:58" ht="13.5" thickBot="1">
      <c r="C404" s="6" t="s">
        <v>140</v>
      </c>
      <c r="AT404" s="27">
        <f aca="true" t="shared" si="98" ref="AT404:BF404">SUM(AT401:AT403)</f>
        <v>39150.95</v>
      </c>
      <c r="AU404" s="27">
        <f t="shared" si="98"/>
        <v>38900.95</v>
      </c>
      <c r="AV404" s="27">
        <f t="shared" si="98"/>
        <v>38900.95</v>
      </c>
      <c r="AW404" s="27">
        <f t="shared" si="98"/>
        <v>38900.95</v>
      </c>
      <c r="AX404" s="27">
        <f t="shared" si="98"/>
        <v>38900.95</v>
      </c>
      <c r="AY404" s="27">
        <f t="shared" si="98"/>
        <v>38900.95</v>
      </c>
      <c r="AZ404" s="27">
        <f t="shared" si="98"/>
        <v>38900.95</v>
      </c>
      <c r="BA404" s="27">
        <f t="shared" si="98"/>
        <v>38900.95</v>
      </c>
      <c r="BB404" s="27">
        <f t="shared" si="98"/>
        <v>38900.95</v>
      </c>
      <c r="BC404" s="27">
        <f t="shared" si="98"/>
        <v>38900.95</v>
      </c>
      <c r="BD404" s="27">
        <f t="shared" si="98"/>
        <v>38900.95</v>
      </c>
      <c r="BE404" s="45">
        <f t="shared" si="98"/>
        <v>38534.28</v>
      </c>
      <c r="BF404" s="31">
        <f t="shared" si="98"/>
        <v>466694.73000000004</v>
      </c>
    </row>
    <row r="405" ht="12.75">
      <c r="C405" s="12"/>
    </row>
    <row r="406" spans="1:3" ht="21">
      <c r="A406" s="16">
        <f>+A400+1</f>
        <v>49</v>
      </c>
      <c r="B406" s="21"/>
      <c r="C406" s="5" t="s">
        <v>143</v>
      </c>
    </row>
    <row r="407" spans="1:58" ht="12.75">
      <c r="A407" s="20"/>
      <c r="B407" s="20"/>
      <c r="C407" s="4" t="str">
        <f>C401</f>
        <v>Debt Reserve</v>
      </c>
      <c r="AT407" s="26">
        <v>202.92</v>
      </c>
      <c r="AU407" s="26">
        <v>202.92</v>
      </c>
      <c r="AV407" s="26">
        <v>202.92</v>
      </c>
      <c r="AW407" s="26">
        <v>202.92</v>
      </c>
      <c r="AX407" s="26">
        <v>202.92</v>
      </c>
      <c r="AY407" s="26">
        <v>202.92</v>
      </c>
      <c r="AZ407" s="26">
        <v>202.92</v>
      </c>
      <c r="BA407" s="26">
        <v>202.92</v>
      </c>
      <c r="BB407" s="26">
        <v>202.92</v>
      </c>
      <c r="BC407" s="26">
        <v>202.92</v>
      </c>
      <c r="BD407" s="26">
        <v>202.92</v>
      </c>
      <c r="BE407" s="44">
        <v>202.92</v>
      </c>
      <c r="BF407" s="26">
        <f>SUM(AT407:BE407)</f>
        <v>2435.0400000000004</v>
      </c>
    </row>
    <row r="408" spans="3:58" ht="12.75">
      <c r="C408" s="4" t="str">
        <f>C402</f>
        <v>Treasury Fee</v>
      </c>
      <c r="AT408" s="32">
        <v>250</v>
      </c>
      <c r="BF408" s="26">
        <f>SUM(AT408:BE408)</f>
        <v>250</v>
      </c>
    </row>
    <row r="409" spans="3:58" ht="13.5" thickBot="1">
      <c r="C409" s="4" t="str">
        <f>C403</f>
        <v>Intercept</v>
      </c>
      <c r="AT409" s="26">
        <v>11304.17</v>
      </c>
      <c r="AU409" s="26">
        <v>11304.17</v>
      </c>
      <c r="AV409" s="26">
        <v>11304.17</v>
      </c>
      <c r="AW409" s="26">
        <v>11304.17</v>
      </c>
      <c r="AX409" s="26">
        <v>11304.17</v>
      </c>
      <c r="AY409" s="26">
        <v>11304.17</v>
      </c>
      <c r="AZ409" s="26">
        <v>11304.17</v>
      </c>
      <c r="BA409" s="26">
        <v>11304.17</v>
      </c>
      <c r="BB409" s="26">
        <v>11304.17</v>
      </c>
      <c r="BC409" s="26">
        <v>11304.17</v>
      </c>
      <c r="BD409" s="26">
        <v>11304.17</v>
      </c>
      <c r="BE409" s="44">
        <v>11304.17</v>
      </c>
      <c r="BF409" s="26">
        <f>SUM(AT409:BE409)</f>
        <v>135650.04</v>
      </c>
    </row>
    <row r="410" spans="3:58" ht="13.5" thickBot="1">
      <c r="C410" s="6" t="s">
        <v>142</v>
      </c>
      <c r="AT410" s="27">
        <f aca="true" t="shared" si="99" ref="AT410:BF410">SUM(AT407:AT409)</f>
        <v>11757.09</v>
      </c>
      <c r="AU410" s="27">
        <f t="shared" si="99"/>
        <v>11507.09</v>
      </c>
      <c r="AV410" s="27">
        <f t="shared" si="99"/>
        <v>11507.09</v>
      </c>
      <c r="AW410" s="27">
        <f t="shared" si="99"/>
        <v>11507.09</v>
      </c>
      <c r="AX410" s="27">
        <f t="shared" si="99"/>
        <v>11507.09</v>
      </c>
      <c r="AY410" s="27">
        <f t="shared" si="99"/>
        <v>11507.09</v>
      </c>
      <c r="AZ410" s="27">
        <f t="shared" si="99"/>
        <v>11507.09</v>
      </c>
      <c r="BA410" s="27">
        <f t="shared" si="99"/>
        <v>11507.09</v>
      </c>
      <c r="BB410" s="27">
        <f t="shared" si="99"/>
        <v>11507.09</v>
      </c>
      <c r="BC410" s="27">
        <f t="shared" si="99"/>
        <v>11507.09</v>
      </c>
      <c r="BD410" s="27">
        <f t="shared" si="99"/>
        <v>11507.09</v>
      </c>
      <c r="BE410" s="45">
        <f t="shared" si="99"/>
        <v>11507.09</v>
      </c>
      <c r="BF410" s="31">
        <f t="shared" si="99"/>
        <v>138335.08000000002</v>
      </c>
    </row>
    <row r="411" ht="12.75">
      <c r="C411" s="12"/>
    </row>
    <row r="412" spans="1:3" ht="21">
      <c r="A412" s="16">
        <f>+A406+1</f>
        <v>50</v>
      </c>
      <c r="B412" s="21"/>
      <c r="C412" s="5" t="s">
        <v>144</v>
      </c>
    </row>
    <row r="413" spans="1:58" ht="12.75">
      <c r="A413" s="20"/>
      <c r="B413" s="20"/>
      <c r="C413" s="4" t="str">
        <f>C407</f>
        <v>Debt Reserve</v>
      </c>
      <c r="AT413" s="26">
        <v>369.58</v>
      </c>
      <c r="AU413" s="26">
        <v>369.58</v>
      </c>
      <c r="AV413" s="26">
        <v>369.58</v>
      </c>
      <c r="AW413" s="26">
        <v>369.58</v>
      </c>
      <c r="AX413" s="26">
        <v>369.58</v>
      </c>
      <c r="AY413" s="26">
        <v>369.58</v>
      </c>
      <c r="AZ413" s="26">
        <v>369.58</v>
      </c>
      <c r="BA413" s="26">
        <v>369.58</v>
      </c>
      <c r="BB413" s="26">
        <v>369.58</v>
      </c>
      <c r="BC413" s="26">
        <v>369.58</v>
      </c>
      <c r="BD413" s="26">
        <v>369.58</v>
      </c>
      <c r="BE413" s="44">
        <v>369.58</v>
      </c>
      <c r="BF413" s="26">
        <f>SUM(AT413:BE413)</f>
        <v>4434.96</v>
      </c>
    </row>
    <row r="414" spans="3:58" ht="12.75">
      <c r="C414" s="4" t="str">
        <f>C408</f>
        <v>Treasury Fee</v>
      </c>
      <c r="AT414" s="32">
        <v>250</v>
      </c>
      <c r="BF414" s="26">
        <f>SUM(AT414:BE414)</f>
        <v>250</v>
      </c>
    </row>
    <row r="415" spans="3:58" ht="13.5" thickBot="1">
      <c r="C415" s="4" t="str">
        <f>C409</f>
        <v>Intercept</v>
      </c>
      <c r="AT415" s="32">
        <f>9583.33+55394.27</f>
        <v>64977.6</v>
      </c>
      <c r="AU415" s="32">
        <f>9583.33+55394.27</f>
        <v>64977.6</v>
      </c>
      <c r="AV415" s="32">
        <f>9583.33+55394.27</f>
        <v>64977.6</v>
      </c>
      <c r="AW415" s="32">
        <f>10000+54807.29</f>
        <v>64807.29</v>
      </c>
      <c r="AX415" s="32">
        <f aca="true" t="shared" si="100" ref="AX415:BE415">10000+54807.29</f>
        <v>64807.29</v>
      </c>
      <c r="AY415" s="32">
        <f t="shared" si="100"/>
        <v>64807.29</v>
      </c>
      <c r="AZ415" s="32">
        <f t="shared" si="100"/>
        <v>64807.29</v>
      </c>
      <c r="BA415" s="32">
        <f t="shared" si="100"/>
        <v>64807.29</v>
      </c>
      <c r="BB415" s="32">
        <f t="shared" si="100"/>
        <v>64807.29</v>
      </c>
      <c r="BC415" s="32">
        <f t="shared" si="100"/>
        <v>64807.29</v>
      </c>
      <c r="BD415" s="32">
        <f t="shared" si="100"/>
        <v>64807.29</v>
      </c>
      <c r="BE415" s="50">
        <f t="shared" si="100"/>
        <v>64807.29</v>
      </c>
      <c r="BF415" s="26">
        <f>SUM(AT415:BE415)</f>
        <v>778198.41</v>
      </c>
    </row>
    <row r="416" spans="3:58" ht="13.5" thickBot="1">
      <c r="C416" s="6" t="s">
        <v>145</v>
      </c>
      <c r="AT416" s="27">
        <f aca="true" t="shared" si="101" ref="AT416:BF416">SUM(AT413:AT415)</f>
        <v>65597.18</v>
      </c>
      <c r="AU416" s="27">
        <f t="shared" si="101"/>
        <v>65347.18</v>
      </c>
      <c r="AV416" s="27">
        <f t="shared" si="101"/>
        <v>65347.18</v>
      </c>
      <c r="AW416" s="27">
        <f t="shared" si="101"/>
        <v>65176.87</v>
      </c>
      <c r="AX416" s="27">
        <f t="shared" si="101"/>
        <v>65176.87</v>
      </c>
      <c r="AY416" s="27">
        <f t="shared" si="101"/>
        <v>65176.87</v>
      </c>
      <c r="AZ416" s="27">
        <f t="shared" si="101"/>
        <v>65176.87</v>
      </c>
      <c r="BA416" s="27">
        <f t="shared" si="101"/>
        <v>65176.87</v>
      </c>
      <c r="BB416" s="27">
        <f t="shared" si="101"/>
        <v>65176.87</v>
      </c>
      <c r="BC416" s="27">
        <f t="shared" si="101"/>
        <v>65176.87</v>
      </c>
      <c r="BD416" s="27">
        <f t="shared" si="101"/>
        <v>65176.87</v>
      </c>
      <c r="BE416" s="45">
        <f t="shared" si="101"/>
        <v>65176.87</v>
      </c>
      <c r="BF416" s="31">
        <f t="shared" si="101"/>
        <v>782883.37</v>
      </c>
    </row>
    <row r="417" ht="12.75">
      <c r="C417" s="12"/>
    </row>
    <row r="418" spans="1:3" ht="21">
      <c r="A418" s="16">
        <f>+A412+1</f>
        <v>51</v>
      </c>
      <c r="B418" s="37" t="s">
        <v>107</v>
      </c>
      <c r="C418" s="36" t="s">
        <v>146</v>
      </c>
    </row>
    <row r="419" spans="1:58" ht="12.75">
      <c r="A419" s="20"/>
      <c r="B419" s="20"/>
      <c r="C419" s="4" t="str">
        <f>C413</f>
        <v>Debt Reserve</v>
      </c>
      <c r="AT419" s="26">
        <v>0</v>
      </c>
      <c r="AU419" s="26">
        <v>0</v>
      </c>
      <c r="AV419" s="26">
        <v>0</v>
      </c>
      <c r="AW419" s="26">
        <v>0</v>
      </c>
      <c r="AX419" s="26">
        <v>0</v>
      </c>
      <c r="AY419" s="26">
        <v>0</v>
      </c>
      <c r="AZ419" s="26">
        <v>0</v>
      </c>
      <c r="BA419" s="26">
        <v>0</v>
      </c>
      <c r="BB419" s="26">
        <v>0</v>
      </c>
      <c r="BC419" s="26">
        <v>0</v>
      </c>
      <c r="BD419" s="26">
        <v>0</v>
      </c>
      <c r="BE419" s="44">
        <v>0</v>
      </c>
      <c r="BF419" s="26">
        <f>SUM(AT419:BE419)</f>
        <v>0</v>
      </c>
    </row>
    <row r="420" spans="3:58" ht="12.75">
      <c r="C420" s="4" t="str">
        <f>C414</f>
        <v>Treasury Fee</v>
      </c>
      <c r="AT420" s="32">
        <v>250</v>
      </c>
      <c r="BF420" s="26">
        <f>SUM(AT420:BE420)</f>
        <v>250</v>
      </c>
    </row>
    <row r="421" spans="3:58" ht="13.5" thickBot="1">
      <c r="C421" s="4" t="str">
        <f>C415</f>
        <v>Intercept</v>
      </c>
      <c r="AT421" s="32">
        <f aca="true" t="shared" si="102" ref="AT421:BD421">2916.67+57590.63</f>
        <v>60507.299999999996</v>
      </c>
      <c r="AU421" s="32">
        <f t="shared" si="102"/>
        <v>60507.299999999996</v>
      </c>
      <c r="AV421" s="32">
        <f t="shared" si="102"/>
        <v>60507.299999999996</v>
      </c>
      <c r="AW421" s="32">
        <f t="shared" si="102"/>
        <v>60507.299999999996</v>
      </c>
      <c r="AX421" s="32">
        <f t="shared" si="102"/>
        <v>60507.299999999996</v>
      </c>
      <c r="AY421" s="32">
        <f t="shared" si="102"/>
        <v>60507.299999999996</v>
      </c>
      <c r="AZ421" s="32">
        <f t="shared" si="102"/>
        <v>60507.299999999996</v>
      </c>
      <c r="BA421" s="32">
        <f t="shared" si="102"/>
        <v>60507.299999999996</v>
      </c>
      <c r="BB421" s="32">
        <f t="shared" si="102"/>
        <v>60507.299999999996</v>
      </c>
      <c r="BC421" s="32">
        <f t="shared" si="102"/>
        <v>60507.299999999996</v>
      </c>
      <c r="BD421" s="32">
        <f t="shared" si="102"/>
        <v>60507.299999999996</v>
      </c>
      <c r="BE421" s="44">
        <f>7916.67+57379.17</f>
        <v>65295.84</v>
      </c>
      <c r="BF421" s="26">
        <f>SUM(AT421:BE421)</f>
        <v>730876.14</v>
      </c>
    </row>
    <row r="422" spans="3:58" ht="13.5" thickBot="1">
      <c r="C422" s="6" t="s">
        <v>147</v>
      </c>
      <c r="AT422" s="27">
        <f aca="true" t="shared" si="103" ref="AT422:BF422">SUM(AT419:AT421)</f>
        <v>60757.299999999996</v>
      </c>
      <c r="AU422" s="27">
        <f t="shared" si="103"/>
        <v>60507.299999999996</v>
      </c>
      <c r="AV422" s="27">
        <f t="shared" si="103"/>
        <v>60507.299999999996</v>
      </c>
      <c r="AW422" s="27">
        <f t="shared" si="103"/>
        <v>60507.299999999996</v>
      </c>
      <c r="AX422" s="27">
        <f t="shared" si="103"/>
        <v>60507.299999999996</v>
      </c>
      <c r="AY422" s="27">
        <f t="shared" si="103"/>
        <v>60507.299999999996</v>
      </c>
      <c r="AZ422" s="27">
        <f t="shared" si="103"/>
        <v>60507.299999999996</v>
      </c>
      <c r="BA422" s="27">
        <f t="shared" si="103"/>
        <v>60507.299999999996</v>
      </c>
      <c r="BB422" s="27">
        <f t="shared" si="103"/>
        <v>60507.299999999996</v>
      </c>
      <c r="BC422" s="27">
        <f t="shared" si="103"/>
        <v>60507.299999999996</v>
      </c>
      <c r="BD422" s="27">
        <f t="shared" si="103"/>
        <v>60507.299999999996</v>
      </c>
      <c r="BE422" s="45">
        <f t="shared" si="103"/>
        <v>65295.84</v>
      </c>
      <c r="BF422" s="31">
        <f t="shared" si="103"/>
        <v>731126.14</v>
      </c>
    </row>
    <row r="423" ht="12.75">
      <c r="C423" s="12"/>
    </row>
    <row r="424" spans="1:3" ht="21">
      <c r="A424" s="16">
        <f>+A418+1</f>
        <v>52</v>
      </c>
      <c r="B424" s="21"/>
      <c r="C424" s="5" t="s">
        <v>148</v>
      </c>
    </row>
    <row r="425" spans="1:58" ht="12.75">
      <c r="A425" s="20"/>
      <c r="B425" s="20"/>
      <c r="C425" s="4" t="str">
        <f>C419</f>
        <v>Debt Reserve</v>
      </c>
      <c r="AT425" s="26">
        <v>0</v>
      </c>
      <c r="AU425" s="26">
        <v>0</v>
      </c>
      <c r="AV425" s="26">
        <v>0</v>
      </c>
      <c r="AW425" s="26">
        <v>0</v>
      </c>
      <c r="AX425" s="26">
        <v>0</v>
      </c>
      <c r="AY425" s="26">
        <v>0</v>
      </c>
      <c r="AZ425" s="26">
        <v>0</v>
      </c>
      <c r="BA425" s="26">
        <v>0</v>
      </c>
      <c r="BB425" s="26">
        <v>0</v>
      </c>
      <c r="BC425" s="26">
        <v>0</v>
      </c>
      <c r="BD425" s="26">
        <v>0</v>
      </c>
      <c r="BE425" s="44">
        <v>0</v>
      </c>
      <c r="BF425" s="26">
        <f>SUM(AT425:BE425)</f>
        <v>0</v>
      </c>
    </row>
    <row r="426" spans="3:58" ht="12.75">
      <c r="C426" s="4" t="str">
        <f>C420</f>
        <v>Treasury Fee</v>
      </c>
      <c r="AT426" s="32">
        <v>250</v>
      </c>
      <c r="BF426" s="26">
        <f>SUM(AT426:BE426)</f>
        <v>250</v>
      </c>
    </row>
    <row r="427" spans="3:58" ht="13.5" thickBot="1">
      <c r="C427" s="4" t="str">
        <f>C421</f>
        <v>Intercept</v>
      </c>
      <c r="AT427" s="26">
        <f>7916.67+49550.52</f>
        <v>57467.189999999995</v>
      </c>
      <c r="AU427" s="26">
        <f>7916.67+49550.52</f>
        <v>57467.189999999995</v>
      </c>
      <c r="AV427" s="26">
        <f>7916.67+49550.52</f>
        <v>57467.189999999995</v>
      </c>
      <c r="AW427" s="26">
        <f>7916.67+49550.52</f>
        <v>57467.189999999995</v>
      </c>
      <c r="AX427" s="26">
        <f>7916.67+49550.52</f>
        <v>57467.189999999995</v>
      </c>
      <c r="AY427" s="26">
        <f>8750+49040.11</f>
        <v>57790.11</v>
      </c>
      <c r="AZ427" s="26">
        <f aca="true" t="shared" si="104" ref="AZ427:BE427">8750+49040.11</f>
        <v>57790.11</v>
      </c>
      <c r="BA427" s="26">
        <f t="shared" si="104"/>
        <v>57790.11</v>
      </c>
      <c r="BB427" s="26">
        <f t="shared" si="104"/>
        <v>57790.11</v>
      </c>
      <c r="BC427" s="26">
        <f t="shared" si="104"/>
        <v>57790.11</v>
      </c>
      <c r="BD427" s="26">
        <f t="shared" si="104"/>
        <v>57790.11</v>
      </c>
      <c r="BE427" s="44">
        <f t="shared" si="104"/>
        <v>57790.11</v>
      </c>
      <c r="BF427" s="26">
        <f>SUM(AT427:BE427)</f>
        <v>691866.7199999999</v>
      </c>
    </row>
    <row r="428" spans="3:58" ht="13.5" thickBot="1">
      <c r="C428" s="6" t="s">
        <v>149</v>
      </c>
      <c r="AT428" s="27">
        <f aca="true" t="shared" si="105" ref="AT428:BF428">SUM(AT425:AT427)</f>
        <v>57717.189999999995</v>
      </c>
      <c r="AU428" s="27">
        <f t="shared" si="105"/>
        <v>57467.189999999995</v>
      </c>
      <c r="AV428" s="27">
        <f t="shared" si="105"/>
        <v>57467.189999999995</v>
      </c>
      <c r="AW428" s="27">
        <f t="shared" si="105"/>
        <v>57467.189999999995</v>
      </c>
      <c r="AX428" s="27">
        <f t="shared" si="105"/>
        <v>57467.189999999995</v>
      </c>
      <c r="AY428" s="27">
        <f t="shared" si="105"/>
        <v>57790.11</v>
      </c>
      <c r="AZ428" s="27">
        <f t="shared" si="105"/>
        <v>57790.11</v>
      </c>
      <c r="BA428" s="27">
        <f t="shared" si="105"/>
        <v>57790.11</v>
      </c>
      <c r="BB428" s="27">
        <f t="shared" si="105"/>
        <v>57790.11</v>
      </c>
      <c r="BC428" s="27">
        <f t="shared" si="105"/>
        <v>57790.11</v>
      </c>
      <c r="BD428" s="27">
        <f t="shared" si="105"/>
        <v>57790.11</v>
      </c>
      <c r="BE428" s="45">
        <f t="shared" si="105"/>
        <v>57790.11</v>
      </c>
      <c r="BF428" s="31">
        <f t="shared" si="105"/>
        <v>692116.7199999999</v>
      </c>
    </row>
    <row r="429" ht="12.75">
      <c r="C429" s="12"/>
    </row>
    <row r="430" spans="1:3" ht="21">
      <c r="A430" s="16">
        <f>+A424+1</f>
        <v>53</v>
      </c>
      <c r="B430" s="21"/>
      <c r="C430" s="5" t="s">
        <v>150</v>
      </c>
    </row>
    <row r="431" spans="1:58" ht="12.75">
      <c r="A431" s="20"/>
      <c r="B431" s="20"/>
      <c r="C431" s="4" t="str">
        <f>C425</f>
        <v>Debt Reserve</v>
      </c>
      <c r="AT431" s="26">
        <v>0</v>
      </c>
      <c r="AU431" s="26">
        <v>0</v>
      </c>
      <c r="AV431" s="26">
        <v>0</v>
      </c>
      <c r="AW431" s="26">
        <v>0</v>
      </c>
      <c r="AX431" s="26">
        <v>0</v>
      </c>
      <c r="AY431" s="26">
        <v>0</v>
      </c>
      <c r="AZ431" s="26">
        <v>0</v>
      </c>
      <c r="BA431" s="26">
        <v>0</v>
      </c>
      <c r="BB431" s="26">
        <v>0</v>
      </c>
      <c r="BC431" s="26">
        <v>0</v>
      </c>
      <c r="BD431" s="26">
        <v>0</v>
      </c>
      <c r="BE431" s="44">
        <v>0</v>
      </c>
      <c r="BF431" s="26">
        <f>SUM(AT431:BE431)</f>
        <v>0</v>
      </c>
    </row>
    <row r="432" spans="3:58" ht="12.75">
      <c r="C432" s="4" t="str">
        <f>C426</f>
        <v>Treasury Fee</v>
      </c>
      <c r="AT432" s="32">
        <v>250</v>
      </c>
      <c r="BF432" s="26">
        <f>SUM(AT432:BE432)</f>
        <v>250</v>
      </c>
    </row>
    <row r="433" spans="3:58" ht="13.5" thickBot="1">
      <c r="C433" s="4" t="str">
        <f>C427</f>
        <v>Intercept</v>
      </c>
      <c r="AT433" s="26">
        <f>7083.33+51943.75</f>
        <v>59027.08</v>
      </c>
      <c r="AU433" s="26">
        <f>7083.33+51943.75</f>
        <v>59027.08</v>
      </c>
      <c r="AV433" s="26">
        <f>7083.33+51943.75</f>
        <v>59027.08</v>
      </c>
      <c r="AW433" s="26">
        <f>7083.33+51943.75</f>
        <v>59027.08</v>
      </c>
      <c r="AX433" s="26">
        <f>7083.33+51943.75</f>
        <v>59027.08</v>
      </c>
      <c r="AY433" s="26">
        <f>7500+51341.67</f>
        <v>58841.67</v>
      </c>
      <c r="AZ433" s="26">
        <f aca="true" t="shared" si="106" ref="AZ433:BE433">7500+51341.67</f>
        <v>58841.67</v>
      </c>
      <c r="BA433" s="26">
        <f t="shared" si="106"/>
        <v>58841.67</v>
      </c>
      <c r="BB433" s="26">
        <f t="shared" si="106"/>
        <v>58841.67</v>
      </c>
      <c r="BC433" s="26">
        <f t="shared" si="106"/>
        <v>58841.67</v>
      </c>
      <c r="BD433" s="26">
        <f t="shared" si="106"/>
        <v>58841.67</v>
      </c>
      <c r="BE433" s="44">
        <f t="shared" si="106"/>
        <v>58841.67</v>
      </c>
      <c r="BF433" s="26">
        <f>SUM(AT433:BE433)</f>
        <v>707027.0900000001</v>
      </c>
    </row>
    <row r="434" spans="3:58" ht="13.5" thickBot="1">
      <c r="C434" s="6" t="s">
        <v>151</v>
      </c>
      <c r="AT434" s="27">
        <f aca="true" t="shared" si="107" ref="AT434:BF434">SUM(AT431:AT433)</f>
        <v>59277.08</v>
      </c>
      <c r="AU434" s="27">
        <f t="shared" si="107"/>
        <v>59027.08</v>
      </c>
      <c r="AV434" s="27">
        <f t="shared" si="107"/>
        <v>59027.08</v>
      </c>
      <c r="AW434" s="27">
        <f t="shared" si="107"/>
        <v>59027.08</v>
      </c>
      <c r="AX434" s="27">
        <f t="shared" si="107"/>
        <v>59027.08</v>
      </c>
      <c r="AY434" s="27">
        <f t="shared" si="107"/>
        <v>58841.67</v>
      </c>
      <c r="AZ434" s="27">
        <f t="shared" si="107"/>
        <v>58841.67</v>
      </c>
      <c r="BA434" s="27">
        <f t="shared" si="107"/>
        <v>58841.67</v>
      </c>
      <c r="BB434" s="27">
        <f t="shared" si="107"/>
        <v>58841.67</v>
      </c>
      <c r="BC434" s="27">
        <f t="shared" si="107"/>
        <v>58841.67</v>
      </c>
      <c r="BD434" s="27">
        <f t="shared" si="107"/>
        <v>58841.67</v>
      </c>
      <c r="BE434" s="45">
        <f t="shared" si="107"/>
        <v>58841.67</v>
      </c>
      <c r="BF434" s="31">
        <f t="shared" si="107"/>
        <v>707277.0900000001</v>
      </c>
    </row>
    <row r="435" ht="12.75">
      <c r="C435" s="12"/>
    </row>
    <row r="436" spans="1:3" ht="21">
      <c r="A436" s="16">
        <f>+A430+1</f>
        <v>54</v>
      </c>
      <c r="B436" s="21"/>
      <c r="C436" s="5" t="s">
        <v>152</v>
      </c>
    </row>
    <row r="437" spans="1:58" ht="12.75">
      <c r="A437" s="20"/>
      <c r="B437" s="20"/>
      <c r="C437" s="4" t="str">
        <f>C431</f>
        <v>Debt Reserve</v>
      </c>
      <c r="AT437" s="26">
        <v>418.75</v>
      </c>
      <c r="AU437" s="26">
        <v>418.75</v>
      </c>
      <c r="AV437" s="26">
        <v>418.75</v>
      </c>
      <c r="AW437" s="26">
        <v>418.75</v>
      </c>
      <c r="AX437" s="26">
        <v>413.33</v>
      </c>
      <c r="AY437" s="26">
        <v>413.33</v>
      </c>
      <c r="AZ437" s="26">
        <v>413.33</v>
      </c>
      <c r="BA437" s="26">
        <v>413.33</v>
      </c>
      <c r="BB437" s="26">
        <v>413.33</v>
      </c>
      <c r="BC437" s="26">
        <v>413.33</v>
      </c>
      <c r="BD437" s="26">
        <v>413.33</v>
      </c>
      <c r="BE437" s="44">
        <v>413.33</v>
      </c>
      <c r="BF437" s="26">
        <f>SUM(AT437:BE437)</f>
        <v>4981.639999999999</v>
      </c>
    </row>
    <row r="438" spans="3:58" ht="12.75">
      <c r="C438" s="4" t="str">
        <f>C432</f>
        <v>Treasury Fee</v>
      </c>
      <c r="AT438" s="32">
        <v>250</v>
      </c>
      <c r="BF438" s="26">
        <f>SUM(AT438:BE438)</f>
        <v>250</v>
      </c>
    </row>
    <row r="439" spans="3:58" ht="13.5" thickBot="1">
      <c r="C439" s="4" t="str">
        <f>C433</f>
        <v>Intercept</v>
      </c>
      <c r="AT439" s="32">
        <v>42265.34</v>
      </c>
      <c r="AU439" s="32">
        <v>42265.34</v>
      </c>
      <c r="AV439" s="32">
        <v>42265.34</v>
      </c>
      <c r="AW439" s="32">
        <v>42265.34</v>
      </c>
      <c r="AX439" s="26">
        <f>8333.33+28260</f>
        <v>36593.33</v>
      </c>
      <c r="AY439" s="26">
        <f aca="true" t="shared" si="108" ref="AY439:BE439">8333.33+28260</f>
        <v>36593.33</v>
      </c>
      <c r="AZ439" s="26">
        <f t="shared" si="108"/>
        <v>36593.33</v>
      </c>
      <c r="BA439" s="26">
        <f t="shared" si="108"/>
        <v>36593.33</v>
      </c>
      <c r="BB439" s="26">
        <f t="shared" si="108"/>
        <v>36593.33</v>
      </c>
      <c r="BC439" s="26">
        <f t="shared" si="108"/>
        <v>36593.33</v>
      </c>
      <c r="BD439" s="26">
        <f t="shared" si="108"/>
        <v>36593.33</v>
      </c>
      <c r="BE439" s="44">
        <f t="shared" si="108"/>
        <v>36593.33</v>
      </c>
      <c r="BF439" s="26">
        <f>SUM(AT439:BE439)</f>
        <v>461808.0000000001</v>
      </c>
    </row>
    <row r="440" spans="3:58" ht="13.5" thickBot="1">
      <c r="C440" s="6" t="s">
        <v>113</v>
      </c>
      <c r="AT440" s="27">
        <f aca="true" t="shared" si="109" ref="AT440:BF440">SUM(AT437:AT439)</f>
        <v>42934.09</v>
      </c>
      <c r="AU440" s="27">
        <f t="shared" si="109"/>
        <v>42684.09</v>
      </c>
      <c r="AV440" s="27">
        <f t="shared" si="109"/>
        <v>42684.09</v>
      </c>
      <c r="AW440" s="27">
        <f t="shared" si="109"/>
        <v>42684.09</v>
      </c>
      <c r="AX440" s="27">
        <f t="shared" si="109"/>
        <v>37006.66</v>
      </c>
      <c r="AY440" s="27">
        <f t="shared" si="109"/>
        <v>37006.66</v>
      </c>
      <c r="AZ440" s="27">
        <f t="shared" si="109"/>
        <v>37006.66</v>
      </c>
      <c r="BA440" s="27">
        <f t="shared" si="109"/>
        <v>37006.66</v>
      </c>
      <c r="BB440" s="27">
        <f t="shared" si="109"/>
        <v>37006.66</v>
      </c>
      <c r="BC440" s="27">
        <f t="shared" si="109"/>
        <v>37006.66</v>
      </c>
      <c r="BD440" s="27">
        <f t="shared" si="109"/>
        <v>37006.66</v>
      </c>
      <c r="BE440" s="45">
        <f t="shared" si="109"/>
        <v>37006.66</v>
      </c>
      <c r="BF440" s="31">
        <f t="shared" si="109"/>
        <v>467039.64000000013</v>
      </c>
    </row>
    <row r="441" ht="12.75">
      <c r="C441" s="12"/>
    </row>
    <row r="442" spans="1:3" ht="21">
      <c r="A442" s="16">
        <f>+A436+1</f>
        <v>55</v>
      </c>
      <c r="B442" s="21"/>
      <c r="C442" s="5" t="s">
        <v>153</v>
      </c>
    </row>
    <row r="443" spans="1:58" ht="12.75">
      <c r="A443" s="20"/>
      <c r="B443" s="20"/>
      <c r="C443" s="4" t="str">
        <f>C437</f>
        <v>Debt Reserve</v>
      </c>
      <c r="AT443" s="26">
        <v>209.58</v>
      </c>
      <c r="AU443" s="26">
        <v>209.58</v>
      </c>
      <c r="AV443" s="26">
        <v>209.58</v>
      </c>
      <c r="AW443" s="26">
        <v>209.58</v>
      </c>
      <c r="AX443" s="26">
        <v>209.58</v>
      </c>
      <c r="AY443" s="26">
        <v>209.58</v>
      </c>
      <c r="AZ443" s="26">
        <v>209.58</v>
      </c>
      <c r="BA443" s="26">
        <v>209.58</v>
      </c>
      <c r="BB443" s="26">
        <v>209.58</v>
      </c>
      <c r="BC443" s="26">
        <v>209.58</v>
      </c>
      <c r="BD443" s="26">
        <v>209.58</v>
      </c>
      <c r="BE443" s="44">
        <v>209.58</v>
      </c>
      <c r="BF443" s="26">
        <f>SUM(AT443:BE443)</f>
        <v>2514.9599999999996</v>
      </c>
    </row>
    <row r="444" spans="3:58" ht="12.75">
      <c r="C444" s="4" t="str">
        <f>C438</f>
        <v>Treasury Fee</v>
      </c>
      <c r="AT444" s="32">
        <v>250</v>
      </c>
      <c r="BF444" s="26">
        <f>SUM(AT444:BE444)</f>
        <v>250</v>
      </c>
    </row>
    <row r="445" spans="3:58" ht="13.5" thickBot="1">
      <c r="C445" s="4" t="str">
        <f>C439</f>
        <v>Intercept</v>
      </c>
      <c r="AT445" s="26">
        <f aca="true" t="shared" si="110" ref="AT445:BA445">3750+27151.56</f>
        <v>30901.56</v>
      </c>
      <c r="AU445" s="26">
        <f t="shared" si="110"/>
        <v>30901.56</v>
      </c>
      <c r="AV445" s="26">
        <f t="shared" si="110"/>
        <v>30901.56</v>
      </c>
      <c r="AW445" s="26">
        <f t="shared" si="110"/>
        <v>30901.56</v>
      </c>
      <c r="AX445" s="26">
        <f t="shared" si="110"/>
        <v>30901.56</v>
      </c>
      <c r="AY445" s="26">
        <f t="shared" si="110"/>
        <v>30901.56</v>
      </c>
      <c r="AZ445" s="26">
        <f t="shared" si="110"/>
        <v>30901.56</v>
      </c>
      <c r="BA445" s="26">
        <f t="shared" si="110"/>
        <v>30901.56</v>
      </c>
      <c r="BB445" s="26">
        <f>3750+26870.31</f>
        <v>30620.31</v>
      </c>
      <c r="BC445" s="26">
        <f>3750+26870.31</f>
        <v>30620.31</v>
      </c>
      <c r="BD445" s="26">
        <f>3750+26870.31</f>
        <v>30620.31</v>
      </c>
      <c r="BE445" s="44">
        <f>3750+26870.31</f>
        <v>30620.31</v>
      </c>
      <c r="BF445" s="26">
        <f>SUM(AT445:BE445)</f>
        <v>369693.72000000003</v>
      </c>
    </row>
    <row r="446" spans="3:58" ht="13.5" thickBot="1">
      <c r="C446" s="6" t="s">
        <v>124</v>
      </c>
      <c r="AT446" s="27">
        <f aca="true" t="shared" si="111" ref="AT446:BF446">SUM(AT443:AT445)</f>
        <v>31361.140000000003</v>
      </c>
      <c r="AU446" s="27">
        <f t="shared" si="111"/>
        <v>31111.140000000003</v>
      </c>
      <c r="AV446" s="27">
        <f t="shared" si="111"/>
        <v>31111.140000000003</v>
      </c>
      <c r="AW446" s="27">
        <f t="shared" si="111"/>
        <v>31111.140000000003</v>
      </c>
      <c r="AX446" s="27">
        <f t="shared" si="111"/>
        <v>31111.140000000003</v>
      </c>
      <c r="AY446" s="27">
        <f t="shared" si="111"/>
        <v>31111.140000000003</v>
      </c>
      <c r="AZ446" s="27">
        <f t="shared" si="111"/>
        <v>31111.140000000003</v>
      </c>
      <c r="BA446" s="27">
        <f t="shared" si="111"/>
        <v>31111.140000000003</v>
      </c>
      <c r="BB446" s="27">
        <f t="shared" si="111"/>
        <v>30829.890000000003</v>
      </c>
      <c r="BC446" s="27">
        <f t="shared" si="111"/>
        <v>30829.890000000003</v>
      </c>
      <c r="BD446" s="27">
        <f t="shared" si="111"/>
        <v>30829.890000000003</v>
      </c>
      <c r="BE446" s="45">
        <f t="shared" si="111"/>
        <v>30829.890000000003</v>
      </c>
      <c r="BF446" s="31">
        <f t="shared" si="111"/>
        <v>372458.68000000005</v>
      </c>
    </row>
    <row r="447" ht="12.75">
      <c r="C447" s="12"/>
    </row>
    <row r="448" spans="1:3" ht="21">
      <c r="A448" s="16"/>
      <c r="B448" s="49" t="s">
        <v>109</v>
      </c>
      <c r="C448" s="34" t="s">
        <v>154</v>
      </c>
    </row>
    <row r="449" spans="1:58" ht="12.75">
      <c r="A449" s="20"/>
      <c r="B449" s="20"/>
      <c r="C449" s="4" t="str">
        <f>C443</f>
        <v>Debt Reserve</v>
      </c>
      <c r="AT449" s="26">
        <v>0</v>
      </c>
      <c r="AU449" s="26">
        <v>0</v>
      </c>
      <c r="AV449" s="26">
        <v>0</v>
      </c>
      <c r="AW449" s="26">
        <v>0</v>
      </c>
      <c r="AX449" s="26">
        <v>0</v>
      </c>
      <c r="AY449" s="26">
        <v>0</v>
      </c>
      <c r="AZ449" s="26">
        <v>0</v>
      </c>
      <c r="BA449" s="26">
        <v>0</v>
      </c>
      <c r="BB449" s="26">
        <v>0</v>
      </c>
      <c r="BC449" s="26">
        <v>0</v>
      </c>
      <c r="BD449" s="26">
        <v>0</v>
      </c>
      <c r="BE449" s="44">
        <v>0</v>
      </c>
      <c r="BF449" s="26">
        <f>SUM(AT449:BE449)</f>
        <v>0</v>
      </c>
    </row>
    <row r="450" spans="3:58" ht="12.75">
      <c r="C450" s="4" t="str">
        <f>C444</f>
        <v>Treasury Fee</v>
      </c>
      <c r="AT450" s="32">
        <v>250</v>
      </c>
      <c r="BF450" s="26">
        <f>SUM(AT450:BE450)</f>
        <v>250</v>
      </c>
    </row>
    <row r="451" spans="3:58" ht="13.5" thickBot="1">
      <c r="C451" s="4" t="str">
        <f>C445</f>
        <v>Intercept</v>
      </c>
      <c r="AT451" s="26">
        <f>6666.67+25047.92</f>
        <v>31714.589999999997</v>
      </c>
      <c r="AU451" s="26">
        <f>6666.67+25047.92</f>
        <v>31714.589999999997</v>
      </c>
      <c r="AV451" s="26">
        <f>6666.67+25047.92</f>
        <v>31714.589999999997</v>
      </c>
      <c r="AW451" s="26">
        <f>6666.67+25047.92</f>
        <v>31714.589999999997</v>
      </c>
      <c r="AX451" s="26">
        <f>6666.67+25047.92</f>
        <v>31714.589999999997</v>
      </c>
      <c r="AY451" s="26">
        <f>7083.33+24681.25</f>
        <v>31764.58</v>
      </c>
      <c r="AZ451" s="26">
        <f>7083.33+24681.25</f>
        <v>31764.58</v>
      </c>
      <c r="BA451" s="26">
        <f>7083.33+24681.25</f>
        <v>31764.58</v>
      </c>
      <c r="BB451" s="26">
        <f>7083.33+24681.25</f>
        <v>31764.58</v>
      </c>
      <c r="BC451" s="26">
        <v>0</v>
      </c>
      <c r="BD451" s="26">
        <v>0</v>
      </c>
      <c r="BE451" s="44">
        <v>0</v>
      </c>
      <c r="BF451" s="26">
        <f>SUM(AT451:BE451)</f>
        <v>285631.27</v>
      </c>
    </row>
    <row r="452" spans="3:58" ht="13.5" thickBot="1">
      <c r="C452" s="6" t="s">
        <v>155</v>
      </c>
      <c r="AT452" s="27">
        <f aca="true" t="shared" si="112" ref="AT452:BF452">SUM(AT449:AT451)</f>
        <v>31964.589999999997</v>
      </c>
      <c r="AU452" s="27">
        <f t="shared" si="112"/>
        <v>31714.589999999997</v>
      </c>
      <c r="AV452" s="27">
        <f t="shared" si="112"/>
        <v>31714.589999999997</v>
      </c>
      <c r="AW452" s="27">
        <f t="shared" si="112"/>
        <v>31714.589999999997</v>
      </c>
      <c r="AX452" s="27">
        <f t="shared" si="112"/>
        <v>31714.589999999997</v>
      </c>
      <c r="AY452" s="27">
        <f t="shared" si="112"/>
        <v>31764.58</v>
      </c>
      <c r="AZ452" s="27">
        <f t="shared" si="112"/>
        <v>31764.58</v>
      </c>
      <c r="BA452" s="27">
        <f t="shared" si="112"/>
        <v>31764.58</v>
      </c>
      <c r="BB452" s="27">
        <f t="shared" si="112"/>
        <v>31764.58</v>
      </c>
      <c r="BC452" s="27">
        <f t="shared" si="112"/>
        <v>0</v>
      </c>
      <c r="BD452" s="27">
        <f t="shared" si="112"/>
        <v>0</v>
      </c>
      <c r="BE452" s="45">
        <f t="shared" si="112"/>
        <v>0</v>
      </c>
      <c r="BF452" s="31">
        <f t="shared" si="112"/>
        <v>285881.27</v>
      </c>
    </row>
    <row r="453" spans="3:58" ht="12.75">
      <c r="C453" s="12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46"/>
      <c r="BF453" s="28"/>
    </row>
    <row r="454" spans="1:3" ht="21">
      <c r="A454" s="16">
        <f>+A442+1</f>
        <v>56</v>
      </c>
      <c r="B454" s="21"/>
      <c r="C454" s="5" t="s">
        <v>156</v>
      </c>
    </row>
    <row r="455" spans="1:58" ht="12.75">
      <c r="A455" s="20"/>
      <c r="B455" s="20"/>
      <c r="C455" s="4" t="str">
        <f>C449</f>
        <v>Debt Reserve</v>
      </c>
      <c r="AT455" s="26">
        <v>0</v>
      </c>
      <c r="AU455" s="26">
        <v>0</v>
      </c>
      <c r="AV455" s="26">
        <v>0</v>
      </c>
      <c r="AW455" s="26">
        <v>0</v>
      </c>
      <c r="AX455" s="26">
        <v>0</v>
      </c>
      <c r="AY455" s="26">
        <v>0</v>
      </c>
      <c r="AZ455" s="26">
        <v>0</v>
      </c>
      <c r="BA455" s="26">
        <v>0</v>
      </c>
      <c r="BB455" s="26">
        <v>0</v>
      </c>
      <c r="BC455" s="26">
        <v>0</v>
      </c>
      <c r="BD455" s="26">
        <v>0</v>
      </c>
      <c r="BE455" s="44">
        <v>0</v>
      </c>
      <c r="BF455" s="26">
        <f>SUM(AT455:BE455)</f>
        <v>0</v>
      </c>
    </row>
    <row r="456" spans="3:58" ht="12.75">
      <c r="C456" s="4" t="str">
        <f>C450</f>
        <v>Treasury Fee</v>
      </c>
      <c r="AT456" s="32">
        <v>250</v>
      </c>
      <c r="BF456" s="26">
        <f>SUM(AT456:BE456)</f>
        <v>250</v>
      </c>
    </row>
    <row r="457" spans="3:58" ht="13.5" thickBot="1">
      <c r="C457" s="4" t="str">
        <f>C451</f>
        <v>Intercept</v>
      </c>
      <c r="AT457" s="26">
        <f aca="true" t="shared" si="113" ref="AT457:AZ457">8333.33+34336.67</f>
        <v>42670</v>
      </c>
      <c r="AU457" s="26">
        <f t="shared" si="113"/>
        <v>42670</v>
      </c>
      <c r="AV457" s="26">
        <f t="shared" si="113"/>
        <v>42670</v>
      </c>
      <c r="AW457" s="26">
        <f t="shared" si="113"/>
        <v>42670</v>
      </c>
      <c r="AX457" s="26">
        <f t="shared" si="113"/>
        <v>42670</v>
      </c>
      <c r="AY457" s="26">
        <f t="shared" si="113"/>
        <v>42670</v>
      </c>
      <c r="AZ457" s="26">
        <f t="shared" si="113"/>
        <v>42670</v>
      </c>
      <c r="BA457" s="26">
        <f>9166.67+33867.92</f>
        <v>43034.59</v>
      </c>
      <c r="BB457" s="26">
        <f>9166.67+33867.92</f>
        <v>43034.59</v>
      </c>
      <c r="BC457" s="26">
        <f>9166.67+33867.92</f>
        <v>43034.59</v>
      </c>
      <c r="BD457" s="26">
        <f>9166.67+33867.92</f>
        <v>43034.59</v>
      </c>
      <c r="BE457" s="44">
        <f>9166.67+33867.92</f>
        <v>43034.59</v>
      </c>
      <c r="BF457" s="26">
        <f>SUM(AT457:BE457)</f>
        <v>513862.94999999984</v>
      </c>
    </row>
    <row r="458" spans="3:58" ht="13.5" thickBot="1">
      <c r="C458" s="6" t="s">
        <v>155</v>
      </c>
      <c r="AT458" s="27">
        <f aca="true" t="shared" si="114" ref="AT458:BF458">SUM(AT455:AT457)</f>
        <v>42920</v>
      </c>
      <c r="AU458" s="27">
        <f t="shared" si="114"/>
        <v>42670</v>
      </c>
      <c r="AV458" s="27">
        <f t="shared" si="114"/>
        <v>42670</v>
      </c>
      <c r="AW458" s="27">
        <f t="shared" si="114"/>
        <v>42670</v>
      </c>
      <c r="AX458" s="27">
        <f t="shared" si="114"/>
        <v>42670</v>
      </c>
      <c r="AY458" s="27">
        <f t="shared" si="114"/>
        <v>42670</v>
      </c>
      <c r="AZ458" s="27">
        <f t="shared" si="114"/>
        <v>42670</v>
      </c>
      <c r="BA458" s="27">
        <f t="shared" si="114"/>
        <v>43034.59</v>
      </c>
      <c r="BB458" s="27">
        <f t="shared" si="114"/>
        <v>43034.59</v>
      </c>
      <c r="BC458" s="27">
        <f t="shared" si="114"/>
        <v>43034.59</v>
      </c>
      <c r="BD458" s="27">
        <f t="shared" si="114"/>
        <v>43034.59</v>
      </c>
      <c r="BE458" s="45">
        <f t="shared" si="114"/>
        <v>43034.59</v>
      </c>
      <c r="BF458" s="31">
        <f t="shared" si="114"/>
        <v>514112.94999999984</v>
      </c>
    </row>
    <row r="459" spans="3:58" ht="12.75">
      <c r="C459" s="12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46"/>
      <c r="BF459" s="28"/>
    </row>
    <row r="460" spans="1:3" ht="21">
      <c r="A460" s="16">
        <f>+A454+1</f>
        <v>57</v>
      </c>
      <c r="B460" s="21"/>
      <c r="C460" s="5" t="s">
        <v>157</v>
      </c>
    </row>
    <row r="461" spans="1:58" ht="12.75">
      <c r="A461" s="20"/>
      <c r="B461" s="20"/>
      <c r="C461" s="4" t="str">
        <f>C455</f>
        <v>Debt Reserve</v>
      </c>
      <c r="AT461" s="26">
        <v>0</v>
      </c>
      <c r="AU461" s="26">
        <v>0</v>
      </c>
      <c r="AV461" s="26">
        <v>0</v>
      </c>
      <c r="AW461" s="26">
        <v>0</v>
      </c>
      <c r="AX461" s="26">
        <v>0</v>
      </c>
      <c r="AY461" s="26">
        <v>0</v>
      </c>
      <c r="AZ461" s="26">
        <v>0</v>
      </c>
      <c r="BA461" s="26">
        <v>0</v>
      </c>
      <c r="BB461" s="26">
        <v>0</v>
      </c>
      <c r="BC461" s="26">
        <v>0</v>
      </c>
      <c r="BD461" s="26">
        <v>0</v>
      </c>
      <c r="BE461" s="44">
        <v>0</v>
      </c>
      <c r="BF461" s="26">
        <f>SUM(AT461:BE461)</f>
        <v>0</v>
      </c>
    </row>
    <row r="462" spans="3:58" ht="12.75">
      <c r="C462" s="4" t="str">
        <f>C456</f>
        <v>Treasury Fee</v>
      </c>
      <c r="AT462" s="32">
        <v>250</v>
      </c>
      <c r="BF462" s="26">
        <f>SUM(AT462:BE462)</f>
        <v>250</v>
      </c>
    </row>
    <row r="463" spans="3:58" ht="13.5" thickBot="1">
      <c r="C463" s="4" t="str">
        <f>C457</f>
        <v>Intercept</v>
      </c>
      <c r="AT463" s="26">
        <v>22760.42</v>
      </c>
      <c r="AU463" s="26">
        <v>22760.42</v>
      </c>
      <c r="AV463" s="26">
        <v>22760.42</v>
      </c>
      <c r="AW463" s="26">
        <v>22760.42</v>
      </c>
      <c r="AX463" s="26">
        <v>22760.42</v>
      </c>
      <c r="AY463" s="26">
        <v>22760.42</v>
      </c>
      <c r="AZ463" s="26">
        <v>22760.42</v>
      </c>
      <c r="BA463" s="26">
        <v>22760.42</v>
      </c>
      <c r="BB463" s="26">
        <v>22960.42</v>
      </c>
      <c r="BC463" s="26">
        <v>22960.42</v>
      </c>
      <c r="BD463" s="26">
        <v>22960.42</v>
      </c>
      <c r="BE463" s="44">
        <v>22960.42</v>
      </c>
      <c r="BF463" s="26">
        <f>SUM(AT463:BE463)</f>
        <v>273925.0399999999</v>
      </c>
    </row>
    <row r="464" spans="3:58" ht="13.5" thickBot="1">
      <c r="C464" s="6" t="s">
        <v>158</v>
      </c>
      <c r="AT464" s="27">
        <f aca="true" t="shared" si="115" ref="AT464:BF464">SUM(AT461:AT463)</f>
        <v>23010.42</v>
      </c>
      <c r="AU464" s="27">
        <f t="shared" si="115"/>
        <v>22760.42</v>
      </c>
      <c r="AV464" s="27">
        <f t="shared" si="115"/>
        <v>22760.42</v>
      </c>
      <c r="AW464" s="27">
        <f t="shared" si="115"/>
        <v>22760.42</v>
      </c>
      <c r="AX464" s="27">
        <f t="shared" si="115"/>
        <v>22760.42</v>
      </c>
      <c r="AY464" s="27">
        <f t="shared" si="115"/>
        <v>22760.42</v>
      </c>
      <c r="AZ464" s="27">
        <f t="shared" si="115"/>
        <v>22760.42</v>
      </c>
      <c r="BA464" s="27">
        <f t="shared" si="115"/>
        <v>22760.42</v>
      </c>
      <c r="BB464" s="27">
        <f t="shared" si="115"/>
        <v>22960.42</v>
      </c>
      <c r="BC464" s="27">
        <f t="shared" si="115"/>
        <v>22960.42</v>
      </c>
      <c r="BD464" s="27">
        <f t="shared" si="115"/>
        <v>22960.42</v>
      </c>
      <c r="BE464" s="45">
        <f t="shared" si="115"/>
        <v>22960.42</v>
      </c>
      <c r="BF464" s="31">
        <f t="shared" si="115"/>
        <v>274175.0399999999</v>
      </c>
    </row>
    <row r="465" spans="3:58" ht="12.75">
      <c r="C465" s="12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46"/>
      <c r="BF465" s="28"/>
    </row>
    <row r="466" spans="1:3" ht="21">
      <c r="A466" s="16">
        <f>+A460+1</f>
        <v>58</v>
      </c>
      <c r="B466" s="21"/>
      <c r="C466" s="5" t="s">
        <v>159</v>
      </c>
    </row>
    <row r="467" spans="1:58" ht="12.75">
      <c r="A467" s="20"/>
      <c r="B467" s="20"/>
      <c r="C467" s="4" t="str">
        <f>C461</f>
        <v>Debt Reserve</v>
      </c>
      <c r="AT467" s="26">
        <v>0</v>
      </c>
      <c r="AU467" s="26">
        <v>0</v>
      </c>
      <c r="AV467" s="26">
        <v>0</v>
      </c>
      <c r="AW467" s="26">
        <v>0</v>
      </c>
      <c r="AX467" s="26">
        <v>0</v>
      </c>
      <c r="AY467" s="26">
        <v>0</v>
      </c>
      <c r="AZ467" s="26">
        <v>0</v>
      </c>
      <c r="BA467" s="26">
        <v>0</v>
      </c>
      <c r="BB467" s="26">
        <v>0</v>
      </c>
      <c r="BC467" s="26">
        <v>0</v>
      </c>
      <c r="BD467" s="26">
        <v>0</v>
      </c>
      <c r="BE467" s="44">
        <v>0</v>
      </c>
      <c r="BF467" s="26">
        <f>SUM(AT467:BE467)</f>
        <v>0</v>
      </c>
    </row>
    <row r="468" spans="3:58" ht="12.75">
      <c r="C468" s="4" t="str">
        <f>C462</f>
        <v>Treasury Fee</v>
      </c>
      <c r="AT468" s="32">
        <v>250</v>
      </c>
      <c r="BF468" s="26">
        <f>SUM(AT468:BE468)</f>
        <v>250</v>
      </c>
    </row>
    <row r="469" spans="3:58" ht="13.5" thickBot="1">
      <c r="C469" s="4" t="str">
        <f>C463</f>
        <v>Intercept</v>
      </c>
      <c r="AT469" s="26">
        <f aca="true" t="shared" si="116" ref="AT469:BD469">18750+74368.13</f>
        <v>93118.13</v>
      </c>
      <c r="AU469" s="26">
        <f t="shared" si="116"/>
        <v>93118.13</v>
      </c>
      <c r="AV469" s="26">
        <f t="shared" si="116"/>
        <v>93118.13</v>
      </c>
      <c r="AW469" s="26">
        <f t="shared" si="116"/>
        <v>93118.13</v>
      </c>
      <c r="AX469" s="26">
        <f t="shared" si="116"/>
        <v>93118.13</v>
      </c>
      <c r="AY469" s="26">
        <f t="shared" si="116"/>
        <v>93118.13</v>
      </c>
      <c r="AZ469" s="26">
        <f t="shared" si="116"/>
        <v>93118.13</v>
      </c>
      <c r="BA469" s="26">
        <f t="shared" si="116"/>
        <v>93118.13</v>
      </c>
      <c r="BB469" s="26">
        <f t="shared" si="116"/>
        <v>93118.13</v>
      </c>
      <c r="BC469" s="26">
        <f t="shared" si="116"/>
        <v>93118.13</v>
      </c>
      <c r="BD469" s="26">
        <f t="shared" si="116"/>
        <v>93118.13</v>
      </c>
      <c r="BE469" s="44">
        <f>20000+73308.75</f>
        <v>93308.75</v>
      </c>
      <c r="BF469" s="26">
        <f>SUM(AT469:BE469)</f>
        <v>1117608.1800000002</v>
      </c>
    </row>
    <row r="470" spans="3:58" ht="13.5" thickBot="1">
      <c r="C470" s="6" t="s">
        <v>160</v>
      </c>
      <c r="AT470" s="27">
        <f aca="true" t="shared" si="117" ref="AT470:BF470">SUM(AT467:AT469)</f>
        <v>93368.13</v>
      </c>
      <c r="AU470" s="27">
        <f t="shared" si="117"/>
        <v>93118.13</v>
      </c>
      <c r="AV470" s="27">
        <f t="shared" si="117"/>
        <v>93118.13</v>
      </c>
      <c r="AW470" s="27">
        <f t="shared" si="117"/>
        <v>93118.13</v>
      </c>
      <c r="AX470" s="27">
        <f t="shared" si="117"/>
        <v>93118.13</v>
      </c>
      <c r="AY470" s="27">
        <f t="shared" si="117"/>
        <v>93118.13</v>
      </c>
      <c r="AZ470" s="27">
        <f t="shared" si="117"/>
        <v>93118.13</v>
      </c>
      <c r="BA470" s="27">
        <f t="shared" si="117"/>
        <v>93118.13</v>
      </c>
      <c r="BB470" s="27">
        <f t="shared" si="117"/>
        <v>93118.13</v>
      </c>
      <c r="BC470" s="27">
        <f t="shared" si="117"/>
        <v>93118.13</v>
      </c>
      <c r="BD470" s="27">
        <f t="shared" si="117"/>
        <v>93118.13</v>
      </c>
      <c r="BE470" s="45">
        <f t="shared" si="117"/>
        <v>93308.75</v>
      </c>
      <c r="BF470" s="31">
        <f t="shared" si="117"/>
        <v>1117858.1800000002</v>
      </c>
    </row>
    <row r="471" spans="3:58" ht="12.75">
      <c r="C471" s="12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46"/>
      <c r="BF471" s="28"/>
    </row>
    <row r="472" spans="1:3" ht="21">
      <c r="A472" s="16">
        <f>+A466+1</f>
        <v>59</v>
      </c>
      <c r="B472" s="21"/>
      <c r="C472" s="48" t="s">
        <v>185</v>
      </c>
    </row>
    <row r="473" spans="1:58" ht="12.75">
      <c r="A473" s="20"/>
      <c r="B473" s="20"/>
      <c r="C473" s="4" t="str">
        <f>C467</f>
        <v>Debt Reserve</v>
      </c>
      <c r="AT473" s="26">
        <v>0</v>
      </c>
      <c r="AU473" s="26">
        <v>0</v>
      </c>
      <c r="AV473" s="26">
        <v>0</v>
      </c>
      <c r="AW473" s="26">
        <v>0</v>
      </c>
      <c r="AX473" s="26">
        <v>0</v>
      </c>
      <c r="AY473" s="26">
        <v>0</v>
      </c>
      <c r="AZ473" s="26">
        <v>0</v>
      </c>
      <c r="BA473" s="26">
        <v>0</v>
      </c>
      <c r="BB473" s="26">
        <v>0</v>
      </c>
      <c r="BC473" s="26">
        <v>0</v>
      </c>
      <c r="BD473" s="26">
        <v>0</v>
      </c>
      <c r="BE473" s="44">
        <v>0</v>
      </c>
      <c r="BF473" s="26">
        <f>SUM(AT473:BE473)</f>
        <v>0</v>
      </c>
    </row>
    <row r="474" spans="3:58" ht="12.75">
      <c r="C474" s="4" t="str">
        <f>C468</f>
        <v>Treasury Fee</v>
      </c>
      <c r="AT474" s="32">
        <v>250</v>
      </c>
      <c r="BF474" s="26">
        <f>SUM(AT474:BE474)</f>
        <v>250</v>
      </c>
    </row>
    <row r="475" spans="3:58" ht="13.5" thickBot="1">
      <c r="C475" s="4" t="str">
        <f>C469</f>
        <v>Intercept</v>
      </c>
      <c r="AT475" s="26">
        <v>0</v>
      </c>
      <c r="AU475" s="26">
        <v>0</v>
      </c>
      <c r="AV475" s="26">
        <v>0</v>
      </c>
      <c r="AW475" s="26">
        <v>0</v>
      </c>
      <c r="AX475" s="26">
        <v>0</v>
      </c>
      <c r="AY475" s="26">
        <v>0</v>
      </c>
      <c r="AZ475" s="26">
        <v>0</v>
      </c>
      <c r="BA475" s="26">
        <v>0</v>
      </c>
      <c r="BB475" s="26">
        <v>0</v>
      </c>
      <c r="BC475" s="26">
        <v>0</v>
      </c>
      <c r="BD475" s="26">
        <v>0</v>
      </c>
      <c r="BE475" s="44">
        <v>0</v>
      </c>
      <c r="BF475" s="26">
        <f>SUM(AT475:BE475)</f>
        <v>0</v>
      </c>
    </row>
    <row r="476" spans="3:58" ht="13.5" thickBot="1">
      <c r="C476" s="6" t="s">
        <v>163</v>
      </c>
      <c r="AT476" s="27">
        <f aca="true" t="shared" si="118" ref="AT476:BF476">SUM(AT473:AT475)</f>
        <v>250</v>
      </c>
      <c r="AU476" s="27">
        <f t="shared" si="118"/>
        <v>0</v>
      </c>
      <c r="AV476" s="27">
        <f t="shared" si="118"/>
        <v>0</v>
      </c>
      <c r="AW476" s="27">
        <f t="shared" si="118"/>
        <v>0</v>
      </c>
      <c r="AX476" s="27">
        <f t="shared" si="118"/>
        <v>0</v>
      </c>
      <c r="AY476" s="27">
        <f t="shared" si="118"/>
        <v>0</v>
      </c>
      <c r="AZ476" s="27">
        <f t="shared" si="118"/>
        <v>0</v>
      </c>
      <c r="BA476" s="27">
        <f t="shared" si="118"/>
        <v>0</v>
      </c>
      <c r="BB476" s="27">
        <f t="shared" si="118"/>
        <v>0</v>
      </c>
      <c r="BC476" s="27">
        <f t="shared" si="118"/>
        <v>0</v>
      </c>
      <c r="BD476" s="27">
        <f t="shared" si="118"/>
        <v>0</v>
      </c>
      <c r="BE476" s="45">
        <f t="shared" si="118"/>
        <v>0</v>
      </c>
      <c r="BF476" s="31">
        <f t="shared" si="118"/>
        <v>250</v>
      </c>
    </row>
    <row r="477" spans="3:58" ht="12.75">
      <c r="C477" s="12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46"/>
      <c r="BF477" s="28"/>
    </row>
    <row r="478" spans="1:3" ht="21">
      <c r="A478" s="16">
        <f>+A472+1</f>
        <v>60</v>
      </c>
      <c r="B478" s="21"/>
      <c r="C478" s="5" t="s">
        <v>164</v>
      </c>
    </row>
    <row r="479" spans="1:58" ht="12.75">
      <c r="A479" s="20"/>
      <c r="B479" s="20"/>
      <c r="C479" s="4" t="str">
        <f>C473</f>
        <v>Debt Reserve</v>
      </c>
      <c r="AT479" s="26">
        <v>0</v>
      </c>
      <c r="AU479" s="26">
        <v>0</v>
      </c>
      <c r="AV479" s="26">
        <v>0</v>
      </c>
      <c r="AW479" s="26">
        <v>0</v>
      </c>
      <c r="AX479" s="26">
        <v>0</v>
      </c>
      <c r="AY479" s="26">
        <v>0</v>
      </c>
      <c r="AZ479" s="26">
        <v>0</v>
      </c>
      <c r="BA479" s="26">
        <v>0</v>
      </c>
      <c r="BB479" s="26">
        <v>0</v>
      </c>
      <c r="BC479" s="26">
        <v>0</v>
      </c>
      <c r="BD479" s="26">
        <v>0</v>
      </c>
      <c r="BE479" s="44">
        <v>0</v>
      </c>
      <c r="BF479" s="26">
        <f>SUM(AT479:BE479)</f>
        <v>0</v>
      </c>
    </row>
    <row r="480" spans="3:58" ht="12.75">
      <c r="C480" s="4" t="str">
        <f>C474</f>
        <v>Treasury Fee</v>
      </c>
      <c r="AT480" s="32">
        <v>250</v>
      </c>
      <c r="BF480" s="26">
        <f>SUM(AT480:BE480)</f>
        <v>250</v>
      </c>
    </row>
    <row r="481" spans="3:58" ht="13.5" thickBot="1">
      <c r="C481" s="4" t="str">
        <f>C475</f>
        <v>Intercept</v>
      </c>
      <c r="AT481" s="26">
        <v>119700</v>
      </c>
      <c r="AU481" s="26">
        <v>119700</v>
      </c>
      <c r="AV481" s="26">
        <v>119700</v>
      </c>
      <c r="AW481" s="26">
        <v>119700</v>
      </c>
      <c r="AX481" s="26">
        <v>119700</v>
      </c>
      <c r="AY481" s="26">
        <v>119700</v>
      </c>
      <c r="AZ481" s="26">
        <v>119700</v>
      </c>
      <c r="BA481" s="26">
        <v>119700</v>
      </c>
      <c r="BB481" s="26">
        <v>119700</v>
      </c>
      <c r="BC481" s="26">
        <v>119700</v>
      </c>
      <c r="BD481" s="26">
        <v>119700</v>
      </c>
      <c r="BE481" s="44">
        <f>32916.67+119700</f>
        <v>152616.66999999998</v>
      </c>
      <c r="BF481" s="26">
        <f>SUM(AT481:BE481)</f>
        <v>1469316.67</v>
      </c>
    </row>
    <row r="482" spans="3:58" ht="13.5" thickBot="1">
      <c r="C482" s="6" t="s">
        <v>165</v>
      </c>
      <c r="AT482" s="27">
        <f aca="true" t="shared" si="119" ref="AT482:BF482">SUM(AT479:AT481)</f>
        <v>119950</v>
      </c>
      <c r="AU482" s="27">
        <f t="shared" si="119"/>
        <v>119700</v>
      </c>
      <c r="AV482" s="27">
        <f t="shared" si="119"/>
        <v>119700</v>
      </c>
      <c r="AW482" s="27">
        <f t="shared" si="119"/>
        <v>119700</v>
      </c>
      <c r="AX482" s="27">
        <f t="shared" si="119"/>
        <v>119700</v>
      </c>
      <c r="AY482" s="27">
        <f t="shared" si="119"/>
        <v>119700</v>
      </c>
      <c r="AZ482" s="27">
        <f t="shared" si="119"/>
        <v>119700</v>
      </c>
      <c r="BA482" s="27">
        <f t="shared" si="119"/>
        <v>119700</v>
      </c>
      <c r="BB482" s="27">
        <f t="shared" si="119"/>
        <v>119700</v>
      </c>
      <c r="BC482" s="27">
        <f t="shared" si="119"/>
        <v>119700</v>
      </c>
      <c r="BD482" s="27">
        <f t="shared" si="119"/>
        <v>119700</v>
      </c>
      <c r="BE482" s="45">
        <f t="shared" si="119"/>
        <v>152616.66999999998</v>
      </c>
      <c r="BF482" s="31">
        <f t="shared" si="119"/>
        <v>1469566.67</v>
      </c>
    </row>
    <row r="483" spans="3:58" ht="12.75">
      <c r="C483" s="12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46"/>
      <c r="BF483" s="28"/>
    </row>
    <row r="484" spans="1:3" ht="21">
      <c r="A484" s="16">
        <f>+A478+1</f>
        <v>61</v>
      </c>
      <c r="B484" s="21"/>
      <c r="C484" s="5" t="s">
        <v>166</v>
      </c>
    </row>
    <row r="485" spans="1:58" ht="12.75">
      <c r="A485" s="20"/>
      <c r="B485" s="20"/>
      <c r="C485" s="4" t="str">
        <f>C479</f>
        <v>Debt Reserve</v>
      </c>
      <c r="AT485" s="26">
        <v>0</v>
      </c>
      <c r="AU485" s="26">
        <v>0</v>
      </c>
      <c r="AV485" s="26">
        <v>0</v>
      </c>
      <c r="AW485" s="26">
        <v>0</v>
      </c>
      <c r="AX485" s="26">
        <v>0</v>
      </c>
      <c r="AY485" s="26">
        <v>0</v>
      </c>
      <c r="AZ485" s="26">
        <v>0</v>
      </c>
      <c r="BA485" s="26">
        <v>0</v>
      </c>
      <c r="BB485" s="26">
        <v>0</v>
      </c>
      <c r="BC485" s="26">
        <v>0</v>
      </c>
      <c r="BD485" s="26">
        <v>0</v>
      </c>
      <c r="BE485" s="44">
        <v>0</v>
      </c>
      <c r="BF485" s="26">
        <f>SUM(AT485:BE485)</f>
        <v>0</v>
      </c>
    </row>
    <row r="486" spans="3:58" ht="12.75">
      <c r="C486" s="4" t="str">
        <f>C480</f>
        <v>Treasury Fee</v>
      </c>
      <c r="AT486" s="32">
        <v>250</v>
      </c>
      <c r="BF486" s="26">
        <f>SUM(AT486:BE486)</f>
        <v>250</v>
      </c>
    </row>
    <row r="487" spans="3:58" ht="13.5" thickBot="1">
      <c r="C487" s="4" t="str">
        <f>C481</f>
        <v>Intercept</v>
      </c>
      <c r="AT487" s="26">
        <f aca="true" t="shared" si="120" ref="AT487:BD487">10000+41260.42</f>
        <v>51260.42</v>
      </c>
      <c r="AU487" s="26">
        <f t="shared" si="120"/>
        <v>51260.42</v>
      </c>
      <c r="AV487" s="26">
        <f t="shared" si="120"/>
        <v>51260.42</v>
      </c>
      <c r="AW487" s="26">
        <f t="shared" si="120"/>
        <v>51260.42</v>
      </c>
      <c r="AX487" s="26">
        <f t="shared" si="120"/>
        <v>51260.42</v>
      </c>
      <c r="AY487" s="26">
        <f t="shared" si="120"/>
        <v>51260.42</v>
      </c>
      <c r="AZ487" s="26">
        <f t="shared" si="120"/>
        <v>51260.42</v>
      </c>
      <c r="BA487" s="26">
        <f t="shared" si="120"/>
        <v>51260.42</v>
      </c>
      <c r="BB487" s="26">
        <f t="shared" si="120"/>
        <v>51260.42</v>
      </c>
      <c r="BC487" s="26">
        <f t="shared" si="120"/>
        <v>51260.42</v>
      </c>
      <c r="BD487" s="26">
        <f t="shared" si="120"/>
        <v>51260.42</v>
      </c>
      <c r="BE487" s="44">
        <f>10833.33+40585.42</f>
        <v>51418.75</v>
      </c>
      <c r="BF487" s="26">
        <f>SUM(AT487:BE487)</f>
        <v>615283.3699999999</v>
      </c>
    </row>
    <row r="488" spans="3:58" ht="13.5" thickBot="1">
      <c r="C488" s="6" t="s">
        <v>167</v>
      </c>
      <c r="AT488" s="27">
        <f aca="true" t="shared" si="121" ref="AT488:BF488">SUM(AT485:AT487)</f>
        <v>51510.42</v>
      </c>
      <c r="AU488" s="27">
        <f t="shared" si="121"/>
        <v>51260.42</v>
      </c>
      <c r="AV488" s="27">
        <f t="shared" si="121"/>
        <v>51260.42</v>
      </c>
      <c r="AW488" s="27">
        <f t="shared" si="121"/>
        <v>51260.42</v>
      </c>
      <c r="AX488" s="27">
        <f t="shared" si="121"/>
        <v>51260.42</v>
      </c>
      <c r="AY488" s="27">
        <f t="shared" si="121"/>
        <v>51260.42</v>
      </c>
      <c r="AZ488" s="27">
        <f t="shared" si="121"/>
        <v>51260.42</v>
      </c>
      <c r="BA488" s="27">
        <f t="shared" si="121"/>
        <v>51260.42</v>
      </c>
      <c r="BB488" s="27">
        <f t="shared" si="121"/>
        <v>51260.42</v>
      </c>
      <c r="BC488" s="27">
        <f t="shared" si="121"/>
        <v>51260.42</v>
      </c>
      <c r="BD488" s="27">
        <f t="shared" si="121"/>
        <v>51260.42</v>
      </c>
      <c r="BE488" s="45">
        <f t="shared" si="121"/>
        <v>51418.75</v>
      </c>
      <c r="BF488" s="31">
        <f t="shared" si="121"/>
        <v>615533.3699999999</v>
      </c>
    </row>
    <row r="489" spans="3:58" ht="12.75">
      <c r="C489" s="12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46"/>
      <c r="BF489" s="28"/>
    </row>
    <row r="490" spans="1:3" ht="21">
      <c r="A490" s="16">
        <f>+A484+1</f>
        <v>62</v>
      </c>
      <c r="B490" s="21"/>
      <c r="C490" s="5" t="s">
        <v>168</v>
      </c>
    </row>
    <row r="491" spans="1:58" ht="12.75">
      <c r="A491" s="20"/>
      <c r="B491" s="20"/>
      <c r="C491" s="4" t="str">
        <f>C485</f>
        <v>Debt Reserve</v>
      </c>
      <c r="AT491" s="26">
        <v>767.5</v>
      </c>
      <c r="AU491" s="26">
        <v>767.5</v>
      </c>
      <c r="AV491" s="26">
        <v>767.5</v>
      </c>
      <c r="AW491" s="26">
        <v>767.5</v>
      </c>
      <c r="AX491" s="26">
        <v>767.5</v>
      </c>
      <c r="AY491" s="26">
        <v>767.5</v>
      </c>
      <c r="AZ491" s="26">
        <v>767.5</v>
      </c>
      <c r="BA491" s="26">
        <v>767.5</v>
      </c>
      <c r="BB491" s="26">
        <v>767.5</v>
      </c>
      <c r="BC491" s="26">
        <v>767.5</v>
      </c>
      <c r="BD491" s="26">
        <v>767.5</v>
      </c>
      <c r="BE491" s="44">
        <v>767.5</v>
      </c>
      <c r="BF491" s="26">
        <f>SUM(AT491:BE491)</f>
        <v>9210</v>
      </c>
    </row>
    <row r="492" spans="3:58" ht="12.75">
      <c r="C492" s="4" t="str">
        <f>C486</f>
        <v>Treasury Fee</v>
      </c>
      <c r="AT492" s="32">
        <v>250</v>
      </c>
      <c r="AU492" s="32"/>
      <c r="BF492" s="26">
        <f>SUM(AT492:BE492)</f>
        <v>250</v>
      </c>
    </row>
    <row r="493" spans="3:58" ht="13.5" thickBot="1">
      <c r="C493" s="4" t="str">
        <f>C487</f>
        <v>Intercept</v>
      </c>
      <c r="AT493" s="26">
        <f>17500+32513.54</f>
        <v>50013.54</v>
      </c>
      <c r="AU493" s="26">
        <f aca="true" t="shared" si="122" ref="AU493:BE493">17500+32513.54</f>
        <v>50013.54</v>
      </c>
      <c r="AV493" s="26">
        <f t="shared" si="122"/>
        <v>50013.54</v>
      </c>
      <c r="AW493" s="26">
        <f t="shared" si="122"/>
        <v>50013.54</v>
      </c>
      <c r="AX493" s="26">
        <f t="shared" si="122"/>
        <v>50013.54</v>
      </c>
      <c r="AY493" s="26">
        <f t="shared" si="122"/>
        <v>50013.54</v>
      </c>
      <c r="AZ493" s="26">
        <f t="shared" si="122"/>
        <v>50013.54</v>
      </c>
      <c r="BA493" s="26">
        <f t="shared" si="122"/>
        <v>50013.54</v>
      </c>
      <c r="BB493" s="26">
        <f t="shared" si="122"/>
        <v>50013.54</v>
      </c>
      <c r="BC493" s="26">
        <f t="shared" si="122"/>
        <v>50013.54</v>
      </c>
      <c r="BD493" s="26">
        <f t="shared" si="122"/>
        <v>50013.54</v>
      </c>
      <c r="BE493" s="44">
        <f t="shared" si="122"/>
        <v>50013.54</v>
      </c>
      <c r="BF493" s="26">
        <f>SUM(AT493:BE493)</f>
        <v>600162.48</v>
      </c>
    </row>
    <row r="494" spans="3:58" ht="13.5" thickBot="1">
      <c r="C494" s="6" t="s">
        <v>169</v>
      </c>
      <c r="AT494" s="27">
        <f aca="true" t="shared" si="123" ref="AT494:BF494">SUM(AT491:AT493)</f>
        <v>51031.04</v>
      </c>
      <c r="AU494" s="27">
        <f t="shared" si="123"/>
        <v>50781.04</v>
      </c>
      <c r="AV494" s="27">
        <f t="shared" si="123"/>
        <v>50781.04</v>
      </c>
      <c r="AW494" s="27">
        <f t="shared" si="123"/>
        <v>50781.04</v>
      </c>
      <c r="AX494" s="27">
        <f t="shared" si="123"/>
        <v>50781.04</v>
      </c>
      <c r="AY494" s="27">
        <f t="shared" si="123"/>
        <v>50781.04</v>
      </c>
      <c r="AZ494" s="27">
        <f t="shared" si="123"/>
        <v>50781.04</v>
      </c>
      <c r="BA494" s="27">
        <f t="shared" si="123"/>
        <v>50781.04</v>
      </c>
      <c r="BB494" s="27">
        <f t="shared" si="123"/>
        <v>50781.04</v>
      </c>
      <c r="BC494" s="27">
        <f t="shared" si="123"/>
        <v>50781.04</v>
      </c>
      <c r="BD494" s="27">
        <f t="shared" si="123"/>
        <v>50781.04</v>
      </c>
      <c r="BE494" s="45">
        <f t="shared" si="123"/>
        <v>50781.04</v>
      </c>
      <c r="BF494" s="31">
        <f t="shared" si="123"/>
        <v>609622.48</v>
      </c>
    </row>
    <row r="495" spans="3:58" ht="12.75">
      <c r="C495" s="12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46"/>
      <c r="BF495" s="28"/>
    </row>
    <row r="496" spans="1:3" ht="21">
      <c r="A496" s="16">
        <f>+A490+1</f>
        <v>63</v>
      </c>
      <c r="B496" s="21"/>
      <c r="C496" s="5" t="s">
        <v>170</v>
      </c>
    </row>
    <row r="497" spans="1:58" ht="12.75">
      <c r="A497" s="20"/>
      <c r="B497" s="20"/>
      <c r="C497" s="4" t="str">
        <f>C491</f>
        <v>Debt Reserve</v>
      </c>
      <c r="AT497" s="26">
        <v>0</v>
      </c>
      <c r="AU497" s="26">
        <v>0</v>
      </c>
      <c r="AV497" s="26">
        <v>0</v>
      </c>
      <c r="AW497" s="26">
        <v>0</v>
      </c>
      <c r="AX497" s="26">
        <v>0</v>
      </c>
      <c r="AY497" s="26">
        <v>0</v>
      </c>
      <c r="AZ497" s="26">
        <v>0</v>
      </c>
      <c r="BA497" s="26">
        <v>0</v>
      </c>
      <c r="BB497" s="26">
        <v>0</v>
      </c>
      <c r="BC497" s="26">
        <v>0</v>
      </c>
      <c r="BD497" s="26">
        <v>0</v>
      </c>
      <c r="BE497" s="44">
        <v>0</v>
      </c>
      <c r="BF497" s="26">
        <f>SUM(AT497:BE497)</f>
        <v>0</v>
      </c>
    </row>
    <row r="498" spans="3:58" ht="12.75">
      <c r="C498" s="4" t="str">
        <f>C492</f>
        <v>Treasury Fee</v>
      </c>
      <c r="AT498" s="32">
        <v>250</v>
      </c>
      <c r="AU498" s="32"/>
      <c r="AX498" s="32"/>
      <c r="BF498" s="26">
        <f>SUM(AT498:BE498)</f>
        <v>250</v>
      </c>
    </row>
    <row r="499" spans="3:58" ht="13.5" thickBot="1">
      <c r="C499" s="4" t="str">
        <f>C493</f>
        <v>Intercept</v>
      </c>
      <c r="AT499" s="26">
        <v>37158.33</v>
      </c>
      <c r="AU499" s="26">
        <v>37158.33</v>
      </c>
      <c r="AV499" s="26">
        <v>37158.33</v>
      </c>
      <c r="AW499" s="26">
        <f>5833.33+37158.33</f>
        <v>42991.66</v>
      </c>
      <c r="AX499" s="26">
        <f aca="true" t="shared" si="124" ref="AX499:BE499">5833.33+37158.33</f>
        <v>42991.66</v>
      </c>
      <c r="AY499" s="26">
        <f t="shared" si="124"/>
        <v>42991.66</v>
      </c>
      <c r="AZ499" s="26">
        <f t="shared" si="124"/>
        <v>42991.66</v>
      </c>
      <c r="BA499" s="26">
        <f t="shared" si="124"/>
        <v>42991.66</v>
      </c>
      <c r="BB499" s="26">
        <f t="shared" si="124"/>
        <v>42991.66</v>
      </c>
      <c r="BC499" s="26">
        <f t="shared" si="124"/>
        <v>42991.66</v>
      </c>
      <c r="BD499" s="26">
        <f t="shared" si="124"/>
        <v>42991.66</v>
      </c>
      <c r="BE499" s="44">
        <f t="shared" si="124"/>
        <v>42991.66</v>
      </c>
      <c r="BF499" s="26">
        <f>SUM(AT499:BE499)</f>
        <v>498399.93000000017</v>
      </c>
    </row>
    <row r="500" spans="3:58" ht="13.5" thickBot="1">
      <c r="C500" s="6" t="s">
        <v>171</v>
      </c>
      <c r="AT500" s="27">
        <f aca="true" t="shared" si="125" ref="AT500:BF500">SUM(AT497:AT499)</f>
        <v>37408.33</v>
      </c>
      <c r="AU500" s="27">
        <f t="shared" si="125"/>
        <v>37158.33</v>
      </c>
      <c r="AV500" s="27">
        <f t="shared" si="125"/>
        <v>37158.33</v>
      </c>
      <c r="AW500" s="27">
        <f t="shared" si="125"/>
        <v>42991.66</v>
      </c>
      <c r="AX500" s="27">
        <f t="shared" si="125"/>
        <v>42991.66</v>
      </c>
      <c r="AY500" s="27">
        <f t="shared" si="125"/>
        <v>42991.66</v>
      </c>
      <c r="AZ500" s="27">
        <f t="shared" si="125"/>
        <v>42991.66</v>
      </c>
      <c r="BA500" s="27">
        <f t="shared" si="125"/>
        <v>42991.66</v>
      </c>
      <c r="BB500" s="27">
        <f t="shared" si="125"/>
        <v>42991.66</v>
      </c>
      <c r="BC500" s="27">
        <f t="shared" si="125"/>
        <v>42991.66</v>
      </c>
      <c r="BD500" s="27">
        <f t="shared" si="125"/>
        <v>42991.66</v>
      </c>
      <c r="BE500" s="45">
        <f t="shared" si="125"/>
        <v>42991.66</v>
      </c>
      <c r="BF500" s="31">
        <f t="shared" si="125"/>
        <v>498649.93000000017</v>
      </c>
    </row>
    <row r="501" spans="3:58" ht="12.75">
      <c r="C501" s="12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46"/>
      <c r="BF501" s="28"/>
    </row>
    <row r="502" spans="1:3" ht="21">
      <c r="A502" s="16">
        <f>+A496+1</f>
        <v>64</v>
      </c>
      <c r="B502" s="21"/>
      <c r="C502" s="5" t="s">
        <v>172</v>
      </c>
    </row>
    <row r="503" spans="1:58" ht="12.75">
      <c r="A503" s="20"/>
      <c r="B503" s="20"/>
      <c r="C503" s="4" t="str">
        <f>C497</f>
        <v>Debt Reserve</v>
      </c>
      <c r="AT503" s="26">
        <v>0</v>
      </c>
      <c r="AU503" s="26">
        <v>0</v>
      </c>
      <c r="AV503" s="26">
        <v>0</v>
      </c>
      <c r="AW503" s="26">
        <v>0</v>
      </c>
      <c r="AX503" s="26">
        <v>0</v>
      </c>
      <c r="AY503" s="26">
        <v>0</v>
      </c>
      <c r="AZ503" s="26">
        <v>0</v>
      </c>
      <c r="BA503" s="26">
        <v>0</v>
      </c>
      <c r="BB503" s="26">
        <v>0</v>
      </c>
      <c r="BC503" s="26">
        <v>0</v>
      </c>
      <c r="BD503" s="26">
        <v>0</v>
      </c>
      <c r="BE503" s="44">
        <v>0</v>
      </c>
      <c r="BF503" s="26">
        <f>SUM(AT503:BE503)</f>
        <v>0</v>
      </c>
    </row>
    <row r="504" spans="3:58" ht="12.75">
      <c r="C504" s="4" t="str">
        <f>C498</f>
        <v>Treasury Fee</v>
      </c>
      <c r="AT504" s="32">
        <v>250</v>
      </c>
      <c r="AU504" s="32"/>
      <c r="AX504" s="32"/>
      <c r="BF504" s="26">
        <f>SUM(AT504:BE504)</f>
        <v>250</v>
      </c>
    </row>
    <row r="505" spans="3:58" ht="13.5" thickBot="1">
      <c r="C505" s="4" t="str">
        <f>C499</f>
        <v>Intercept</v>
      </c>
      <c r="AT505" s="26">
        <v>0</v>
      </c>
      <c r="AU505" s="26">
        <v>49410</v>
      </c>
      <c r="AV505" s="26">
        <v>49410</v>
      </c>
      <c r="AW505" s="26">
        <v>49410</v>
      </c>
      <c r="AX505" s="26">
        <v>49410</v>
      </c>
      <c r="AY505" s="26">
        <v>49410</v>
      </c>
      <c r="AZ505" s="26">
        <v>49410</v>
      </c>
      <c r="BA505" s="26">
        <v>49410</v>
      </c>
      <c r="BB505" s="26">
        <v>49410</v>
      </c>
      <c r="BC505" s="26">
        <v>49410</v>
      </c>
      <c r="BD505" s="26">
        <v>49410</v>
      </c>
      <c r="BE505" s="44">
        <v>49410</v>
      </c>
      <c r="BF505" s="26">
        <f>SUM(AT505:BE505)</f>
        <v>543510</v>
      </c>
    </row>
    <row r="506" spans="3:58" ht="13.5" thickBot="1">
      <c r="C506" s="6" t="s">
        <v>173</v>
      </c>
      <c r="AT506" s="27">
        <f aca="true" t="shared" si="126" ref="AT506:BF506">SUM(AT503:AT505)</f>
        <v>250</v>
      </c>
      <c r="AU506" s="27">
        <f t="shared" si="126"/>
        <v>49410</v>
      </c>
      <c r="AV506" s="27">
        <f t="shared" si="126"/>
        <v>49410</v>
      </c>
      <c r="AW506" s="27">
        <f t="shared" si="126"/>
        <v>49410</v>
      </c>
      <c r="AX506" s="27">
        <f t="shared" si="126"/>
        <v>49410</v>
      </c>
      <c r="AY506" s="27">
        <f t="shared" si="126"/>
        <v>49410</v>
      </c>
      <c r="AZ506" s="27">
        <f t="shared" si="126"/>
        <v>49410</v>
      </c>
      <c r="BA506" s="27">
        <f t="shared" si="126"/>
        <v>49410</v>
      </c>
      <c r="BB506" s="27">
        <f t="shared" si="126"/>
        <v>49410</v>
      </c>
      <c r="BC506" s="27">
        <f t="shared" si="126"/>
        <v>49410</v>
      </c>
      <c r="BD506" s="27">
        <f t="shared" si="126"/>
        <v>49410</v>
      </c>
      <c r="BE506" s="45">
        <f t="shared" si="126"/>
        <v>49410</v>
      </c>
      <c r="BF506" s="31">
        <f t="shared" si="126"/>
        <v>543760</v>
      </c>
    </row>
    <row r="507" spans="3:58" ht="12.75">
      <c r="C507" s="12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46"/>
      <c r="BF507" s="28"/>
    </row>
    <row r="508" spans="1:3" ht="21">
      <c r="A508" s="16">
        <f>+A502+1</f>
        <v>65</v>
      </c>
      <c r="B508" s="21"/>
      <c r="C508" s="5" t="s">
        <v>174</v>
      </c>
    </row>
    <row r="509" spans="1:58" ht="12.75">
      <c r="A509" s="20"/>
      <c r="B509" s="20"/>
      <c r="C509" s="4" t="str">
        <f>C503</f>
        <v>Debt Reserve</v>
      </c>
      <c r="AT509" s="26">
        <v>0</v>
      </c>
      <c r="AU509" s="26">
        <v>0</v>
      </c>
      <c r="AV509" s="26">
        <v>0</v>
      </c>
      <c r="AW509" s="26">
        <v>0</v>
      </c>
      <c r="AX509" s="26">
        <v>0</v>
      </c>
      <c r="AY509" s="26">
        <v>0</v>
      </c>
      <c r="AZ509" s="26">
        <v>0</v>
      </c>
      <c r="BA509" s="26">
        <v>0</v>
      </c>
      <c r="BB509" s="26">
        <v>0</v>
      </c>
      <c r="BC509" s="26">
        <v>0</v>
      </c>
      <c r="BD509" s="26">
        <v>0</v>
      </c>
      <c r="BE509" s="44">
        <v>0</v>
      </c>
      <c r="BF509" s="26">
        <f>SUM(AT509:BE509)</f>
        <v>0</v>
      </c>
    </row>
    <row r="510" spans="3:58" ht="12.75">
      <c r="C510" s="4" t="str">
        <f>C504</f>
        <v>Treasury Fee</v>
      </c>
      <c r="AT510" s="32">
        <v>250</v>
      </c>
      <c r="BF510" s="26">
        <f>SUM(AT510:BE510)</f>
        <v>250</v>
      </c>
    </row>
    <row r="511" spans="3:58" ht="13.5" thickBot="1">
      <c r="C511" s="4" t="str">
        <f>C505</f>
        <v>Intercept</v>
      </c>
      <c r="AT511" s="26">
        <v>0</v>
      </c>
      <c r="AU511" s="26">
        <v>0</v>
      </c>
      <c r="AV511" s="26">
        <v>0</v>
      </c>
      <c r="AW511" s="26">
        <v>0</v>
      </c>
      <c r="AX511" s="26">
        <v>0</v>
      </c>
      <c r="AY511" s="26">
        <v>0</v>
      </c>
      <c r="AZ511" s="26">
        <v>0</v>
      </c>
      <c r="BA511" s="26">
        <v>0</v>
      </c>
      <c r="BB511" s="26">
        <v>0</v>
      </c>
      <c r="BC511" s="26">
        <v>0</v>
      </c>
      <c r="BD511" s="26">
        <v>0</v>
      </c>
      <c r="BE511" s="44">
        <v>0</v>
      </c>
      <c r="BF511" s="26">
        <f>SUM(AT511:BE511)</f>
        <v>0</v>
      </c>
    </row>
    <row r="512" spans="3:58" ht="13.5" thickBot="1">
      <c r="C512" s="6" t="s">
        <v>120</v>
      </c>
      <c r="AT512" s="27">
        <f aca="true" t="shared" si="127" ref="AT512:BF512">SUM(AT509:AT511)</f>
        <v>250</v>
      </c>
      <c r="AU512" s="27">
        <f t="shared" si="127"/>
        <v>0</v>
      </c>
      <c r="AV512" s="27">
        <f t="shared" si="127"/>
        <v>0</v>
      </c>
      <c r="AW512" s="27">
        <f t="shared" si="127"/>
        <v>0</v>
      </c>
      <c r="AX512" s="27">
        <f t="shared" si="127"/>
        <v>0</v>
      </c>
      <c r="AY512" s="27">
        <f t="shared" si="127"/>
        <v>0</v>
      </c>
      <c r="AZ512" s="27">
        <f t="shared" si="127"/>
        <v>0</v>
      </c>
      <c r="BA512" s="27">
        <f t="shared" si="127"/>
        <v>0</v>
      </c>
      <c r="BB512" s="27">
        <f t="shared" si="127"/>
        <v>0</v>
      </c>
      <c r="BC512" s="27">
        <f t="shared" si="127"/>
        <v>0</v>
      </c>
      <c r="BD512" s="27">
        <f t="shared" si="127"/>
        <v>0</v>
      </c>
      <c r="BE512" s="45">
        <f t="shared" si="127"/>
        <v>0</v>
      </c>
      <c r="BF512" s="31">
        <f t="shared" si="127"/>
        <v>250</v>
      </c>
    </row>
    <row r="513" spans="3:58" ht="12.75">
      <c r="C513" s="12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46"/>
      <c r="BF513" s="28"/>
    </row>
    <row r="514" spans="1:3" ht="21">
      <c r="A514" s="16">
        <f>+A508+1</f>
        <v>66</v>
      </c>
      <c r="B514" s="21"/>
      <c r="C514" s="5" t="s">
        <v>175</v>
      </c>
    </row>
    <row r="515" spans="1:58" ht="12.75">
      <c r="A515" s="20"/>
      <c r="B515" s="20"/>
      <c r="C515" s="4" t="str">
        <f>C509</f>
        <v>Debt Reserve</v>
      </c>
      <c r="AT515" s="26">
        <v>0</v>
      </c>
      <c r="AU515" s="26">
        <v>0</v>
      </c>
      <c r="AV515" s="26">
        <v>0</v>
      </c>
      <c r="AW515" s="26">
        <v>0</v>
      </c>
      <c r="AX515" s="26">
        <v>0</v>
      </c>
      <c r="AY515" s="26">
        <v>0</v>
      </c>
      <c r="AZ515" s="26">
        <v>0</v>
      </c>
      <c r="BA515" s="26">
        <v>0</v>
      </c>
      <c r="BB515" s="26">
        <v>0</v>
      </c>
      <c r="BC515" s="26">
        <v>0</v>
      </c>
      <c r="BD515" s="26">
        <v>0</v>
      </c>
      <c r="BE515" s="44">
        <v>0</v>
      </c>
      <c r="BF515" s="26">
        <f>SUM(AT515:BE515)</f>
        <v>0</v>
      </c>
    </row>
    <row r="516" spans="3:58" ht="12.75">
      <c r="C516" s="4" t="str">
        <f>C510</f>
        <v>Treasury Fee</v>
      </c>
      <c r="AT516" s="32">
        <v>250</v>
      </c>
      <c r="BF516" s="26">
        <f>SUM(AT516:BE516)</f>
        <v>250</v>
      </c>
    </row>
    <row r="517" spans="3:58" ht="13.5" thickBot="1">
      <c r="C517" s="4" t="str">
        <f>C511</f>
        <v>Intercept</v>
      </c>
      <c r="AT517" s="26">
        <v>0</v>
      </c>
      <c r="AU517" s="26">
        <v>0</v>
      </c>
      <c r="AV517" s="26">
        <v>0</v>
      </c>
      <c r="AW517" s="26">
        <v>0</v>
      </c>
      <c r="AX517" s="26">
        <v>0</v>
      </c>
      <c r="AY517" s="26">
        <f>9090.91+30583.33</f>
        <v>39674.240000000005</v>
      </c>
      <c r="AZ517" s="26">
        <f aca="true" t="shared" si="128" ref="AZ517:BE517">9090.91+30583.33</f>
        <v>39674.240000000005</v>
      </c>
      <c r="BA517" s="26">
        <f t="shared" si="128"/>
        <v>39674.240000000005</v>
      </c>
      <c r="BB517" s="26">
        <f t="shared" si="128"/>
        <v>39674.240000000005</v>
      </c>
      <c r="BC517" s="26">
        <f t="shared" si="128"/>
        <v>39674.240000000005</v>
      </c>
      <c r="BD517" s="26">
        <f t="shared" si="128"/>
        <v>39674.240000000005</v>
      </c>
      <c r="BE517" s="44">
        <f t="shared" si="128"/>
        <v>39674.240000000005</v>
      </c>
      <c r="BF517" s="26">
        <f>SUM(AT517:BE517)</f>
        <v>277719.68</v>
      </c>
    </row>
    <row r="518" spans="3:58" ht="13.5" thickBot="1">
      <c r="C518" s="6" t="s">
        <v>176</v>
      </c>
      <c r="AT518" s="27">
        <f aca="true" t="shared" si="129" ref="AT518:BF518">SUM(AT515:AT517)</f>
        <v>250</v>
      </c>
      <c r="AU518" s="27">
        <f t="shared" si="129"/>
        <v>0</v>
      </c>
      <c r="AV518" s="27">
        <f t="shared" si="129"/>
        <v>0</v>
      </c>
      <c r="AW518" s="27">
        <f t="shared" si="129"/>
        <v>0</v>
      </c>
      <c r="AX518" s="27">
        <f t="shared" si="129"/>
        <v>0</v>
      </c>
      <c r="AY518" s="27">
        <f t="shared" si="129"/>
        <v>39674.240000000005</v>
      </c>
      <c r="AZ518" s="27">
        <f t="shared" si="129"/>
        <v>39674.240000000005</v>
      </c>
      <c r="BA518" s="27">
        <f t="shared" si="129"/>
        <v>39674.240000000005</v>
      </c>
      <c r="BB518" s="27">
        <f t="shared" si="129"/>
        <v>39674.240000000005</v>
      </c>
      <c r="BC518" s="27">
        <f t="shared" si="129"/>
        <v>39674.240000000005</v>
      </c>
      <c r="BD518" s="27">
        <f t="shared" si="129"/>
        <v>39674.240000000005</v>
      </c>
      <c r="BE518" s="45">
        <f t="shared" si="129"/>
        <v>39674.240000000005</v>
      </c>
      <c r="BF518" s="31">
        <f t="shared" si="129"/>
        <v>277969.68</v>
      </c>
    </row>
    <row r="519" spans="3:58" ht="12.75">
      <c r="C519" s="12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46"/>
      <c r="BF519" s="28"/>
    </row>
    <row r="520" spans="1:3" ht="21">
      <c r="A520" s="16">
        <f>+A514+1</f>
        <v>67</v>
      </c>
      <c r="B520" s="37" t="s">
        <v>107</v>
      </c>
      <c r="C520" s="36" t="s">
        <v>177</v>
      </c>
    </row>
    <row r="521" spans="1:58" ht="12.75">
      <c r="A521" s="20"/>
      <c r="B521" s="20"/>
      <c r="C521" s="4" t="str">
        <f>C515</f>
        <v>Debt Reserve</v>
      </c>
      <c r="AT521" s="26">
        <v>1473.75</v>
      </c>
      <c r="AU521" s="26">
        <v>1473.75</v>
      </c>
      <c r="AV521" s="26">
        <v>1473.75</v>
      </c>
      <c r="AW521" s="26">
        <v>1473.75</v>
      </c>
      <c r="AX521" s="26">
        <v>1473.75</v>
      </c>
      <c r="AY521" s="26">
        <v>1473.75</v>
      </c>
      <c r="AZ521" s="26">
        <v>1473.75</v>
      </c>
      <c r="BA521" s="26">
        <v>1473.75</v>
      </c>
      <c r="BB521" s="26">
        <v>1469.17</v>
      </c>
      <c r="BC521" s="26">
        <v>1469.17</v>
      </c>
      <c r="BD521" s="26">
        <v>1469.17</v>
      </c>
      <c r="BE521" s="44">
        <v>1469.17</v>
      </c>
      <c r="BF521" s="26">
        <f>SUM(AT521:BE521)</f>
        <v>17666.68</v>
      </c>
    </row>
    <row r="522" spans="3:58" ht="12.75">
      <c r="C522" s="4" t="str">
        <f>C516</f>
        <v>Treasury Fee</v>
      </c>
      <c r="AT522" s="32">
        <v>250</v>
      </c>
      <c r="AU522" s="32"/>
      <c r="AX522" s="32"/>
      <c r="BF522" s="26">
        <f>SUM(AT522:BE522)</f>
        <v>250</v>
      </c>
    </row>
    <row r="523" spans="3:58" ht="13.5" thickBot="1">
      <c r="C523" s="4" t="str">
        <f>C517</f>
        <v>Intercept</v>
      </c>
      <c r="AT523" s="26">
        <f aca="true" t="shared" si="130" ref="AT523:BD523">39166.67+63582.29</f>
        <v>102748.95999999999</v>
      </c>
      <c r="AU523" s="26">
        <f t="shared" si="130"/>
        <v>102748.95999999999</v>
      </c>
      <c r="AV523" s="26">
        <f t="shared" si="130"/>
        <v>102748.95999999999</v>
      </c>
      <c r="AW523" s="26">
        <f t="shared" si="130"/>
        <v>102748.95999999999</v>
      </c>
      <c r="AX523" s="26">
        <f t="shared" si="130"/>
        <v>102748.95999999999</v>
      </c>
      <c r="AY523" s="26">
        <f t="shared" si="130"/>
        <v>102748.95999999999</v>
      </c>
      <c r="AZ523" s="26">
        <f t="shared" si="130"/>
        <v>102748.95999999999</v>
      </c>
      <c r="BA523" s="26">
        <f t="shared" si="130"/>
        <v>102748.95999999999</v>
      </c>
      <c r="BB523" s="26">
        <f t="shared" si="130"/>
        <v>102748.95999999999</v>
      </c>
      <c r="BC523" s="26">
        <f t="shared" si="130"/>
        <v>102748.95999999999</v>
      </c>
      <c r="BD523" s="26">
        <f t="shared" si="130"/>
        <v>102748.95999999999</v>
      </c>
      <c r="BE523" s="44">
        <f>40833.33+62407.29</f>
        <v>103240.62</v>
      </c>
      <c r="BF523" s="26">
        <f>SUM(AT523:BE523)</f>
        <v>1233479.1799999997</v>
      </c>
    </row>
    <row r="524" spans="3:58" ht="13.5" thickBot="1">
      <c r="C524" s="6" t="s">
        <v>133</v>
      </c>
      <c r="AT524" s="27">
        <f aca="true" t="shared" si="131" ref="AT524:BF524">SUM(AT521:AT523)</f>
        <v>104472.70999999999</v>
      </c>
      <c r="AU524" s="27">
        <f t="shared" si="131"/>
        <v>104222.70999999999</v>
      </c>
      <c r="AV524" s="27">
        <f t="shared" si="131"/>
        <v>104222.70999999999</v>
      </c>
      <c r="AW524" s="27">
        <f t="shared" si="131"/>
        <v>104222.70999999999</v>
      </c>
      <c r="AX524" s="27">
        <f t="shared" si="131"/>
        <v>104222.70999999999</v>
      </c>
      <c r="AY524" s="27">
        <f t="shared" si="131"/>
        <v>104222.70999999999</v>
      </c>
      <c r="AZ524" s="27">
        <f t="shared" si="131"/>
        <v>104222.70999999999</v>
      </c>
      <c r="BA524" s="27">
        <f t="shared" si="131"/>
        <v>104222.70999999999</v>
      </c>
      <c r="BB524" s="27">
        <f t="shared" si="131"/>
        <v>104218.12999999999</v>
      </c>
      <c r="BC524" s="27">
        <f t="shared" si="131"/>
        <v>104218.12999999999</v>
      </c>
      <c r="BD524" s="27">
        <f t="shared" si="131"/>
        <v>104218.12999999999</v>
      </c>
      <c r="BE524" s="45">
        <f t="shared" si="131"/>
        <v>104709.79</v>
      </c>
      <c r="BF524" s="31">
        <f t="shared" si="131"/>
        <v>1251395.8599999996</v>
      </c>
    </row>
    <row r="525" spans="3:58" ht="12.75">
      <c r="C525" s="12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46"/>
      <c r="BF525" s="28"/>
    </row>
    <row r="526" spans="1:3" ht="21">
      <c r="A526" s="16">
        <f>+A520+1</f>
        <v>68</v>
      </c>
      <c r="B526" s="21"/>
      <c r="C526" s="5" t="s">
        <v>178</v>
      </c>
    </row>
    <row r="527" spans="1:58" ht="12.75">
      <c r="A527" s="20"/>
      <c r="B527" s="20"/>
      <c r="C527" s="4" t="str">
        <f>C521</f>
        <v>Debt Reserve</v>
      </c>
      <c r="AT527" s="26">
        <v>695.91</v>
      </c>
      <c r="AU527" s="26">
        <v>695.91</v>
      </c>
      <c r="AV527" s="26">
        <v>695.91</v>
      </c>
      <c r="AW527" s="26">
        <v>695.91</v>
      </c>
      <c r="AX527" s="26">
        <v>695.91</v>
      </c>
      <c r="AY527" s="26">
        <v>695.91</v>
      </c>
      <c r="AZ527" s="26">
        <v>695.91</v>
      </c>
      <c r="BA527" s="26">
        <v>695.91</v>
      </c>
      <c r="BB527" s="26">
        <v>695.9</v>
      </c>
      <c r="BC527" s="26">
        <v>628.75</v>
      </c>
      <c r="BD527" s="26">
        <v>628.75</v>
      </c>
      <c r="BE527" s="44">
        <v>628.75</v>
      </c>
      <c r="BF527" s="26">
        <f>SUM(AT527:BE527)</f>
        <v>8149.429999999999</v>
      </c>
    </row>
    <row r="528" spans="3:58" ht="12.75">
      <c r="C528" s="4" t="str">
        <f>C522</f>
        <v>Treasury Fee</v>
      </c>
      <c r="AT528" s="32">
        <v>250</v>
      </c>
      <c r="AU528" s="32"/>
      <c r="AX528" s="32"/>
      <c r="BF528" s="26">
        <f>SUM(AT528:BE528)</f>
        <v>250</v>
      </c>
    </row>
    <row r="529" spans="3:58" ht="13.5" thickBot="1">
      <c r="C529" s="4" t="str">
        <f>C523</f>
        <v>Intercept</v>
      </c>
      <c r="AT529" s="26">
        <f>11000+27561.74</f>
        <v>38561.740000000005</v>
      </c>
      <c r="AU529" s="26">
        <f>11000+27561.74</f>
        <v>38561.740000000005</v>
      </c>
      <c r="AV529" s="26">
        <f>11000+27333.96</f>
        <v>38333.96</v>
      </c>
      <c r="AW529" s="26">
        <f>11000+27333.96</f>
        <v>38333.96</v>
      </c>
      <c r="AX529" s="26">
        <f>11000+27333.96</f>
        <v>38333.96</v>
      </c>
      <c r="AY529" s="26">
        <f>11000+27333.96</f>
        <v>38333.96</v>
      </c>
      <c r="AZ529" s="26">
        <f>11000+27333.96</f>
        <v>38333.96</v>
      </c>
      <c r="BA529" s="26">
        <f>11000+27333.95</f>
        <v>38333.95</v>
      </c>
      <c r="BB529" s="26">
        <f>11666.67+27119.92</f>
        <v>38786.59</v>
      </c>
      <c r="BC529" s="26">
        <f>11666.67+27119.92</f>
        <v>38786.59</v>
      </c>
      <c r="BD529" s="26">
        <f>11666.67+27119.92</f>
        <v>38786.59</v>
      </c>
      <c r="BE529" s="44">
        <f>11666.67+27119.92</f>
        <v>38786.59</v>
      </c>
      <c r="BF529" s="26">
        <f>SUM(AT529:BE529)</f>
        <v>462273.58999999985</v>
      </c>
    </row>
    <row r="530" spans="3:58" ht="13.5" thickBot="1">
      <c r="C530" s="6" t="s">
        <v>179</v>
      </c>
      <c r="AT530" s="27">
        <f aca="true" t="shared" si="132" ref="AT530:BF530">SUM(AT527:AT529)</f>
        <v>39507.65000000001</v>
      </c>
      <c r="AU530" s="27">
        <f t="shared" si="132"/>
        <v>39257.65000000001</v>
      </c>
      <c r="AV530" s="27">
        <f t="shared" si="132"/>
        <v>39029.87</v>
      </c>
      <c r="AW530" s="27">
        <f t="shared" si="132"/>
        <v>39029.87</v>
      </c>
      <c r="AX530" s="27">
        <f t="shared" si="132"/>
        <v>39029.87</v>
      </c>
      <c r="AY530" s="27">
        <f t="shared" si="132"/>
        <v>39029.87</v>
      </c>
      <c r="AZ530" s="27">
        <f t="shared" si="132"/>
        <v>39029.87</v>
      </c>
      <c r="BA530" s="27">
        <f t="shared" si="132"/>
        <v>39029.86</v>
      </c>
      <c r="BB530" s="27">
        <f t="shared" si="132"/>
        <v>39482.49</v>
      </c>
      <c r="BC530" s="27">
        <f t="shared" si="132"/>
        <v>39415.34</v>
      </c>
      <c r="BD530" s="27">
        <f t="shared" si="132"/>
        <v>39415.34</v>
      </c>
      <c r="BE530" s="45">
        <f t="shared" si="132"/>
        <v>39415.34</v>
      </c>
      <c r="BF530" s="31">
        <f t="shared" si="132"/>
        <v>470673.01999999984</v>
      </c>
    </row>
    <row r="531" spans="3:58" ht="12.75">
      <c r="C531" s="12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46"/>
      <c r="BF531" s="28"/>
    </row>
    <row r="532" spans="1:3" ht="21">
      <c r="A532" s="16">
        <f>+A526+1</f>
        <v>69</v>
      </c>
      <c r="B532" s="21"/>
      <c r="C532" s="5" t="s">
        <v>180</v>
      </c>
    </row>
    <row r="533" spans="1:58" ht="12.75">
      <c r="A533" s="20"/>
      <c r="B533" s="20"/>
      <c r="C533" s="4" t="str">
        <f>C527</f>
        <v>Debt Reserve</v>
      </c>
      <c r="AT533" s="26">
        <v>567.6</v>
      </c>
      <c r="AU533" s="26">
        <v>567.6</v>
      </c>
      <c r="AV533" s="26">
        <v>567.59</v>
      </c>
      <c r="AW533" s="26">
        <v>567.59</v>
      </c>
      <c r="AX533" s="26">
        <v>567.59</v>
      </c>
      <c r="AY533" s="26">
        <v>567.59</v>
      </c>
      <c r="AZ533" s="26">
        <v>567.59</v>
      </c>
      <c r="BA533" s="26">
        <v>509.07</v>
      </c>
      <c r="BB533" s="26">
        <v>509.07</v>
      </c>
      <c r="BC533" s="26">
        <v>509.07</v>
      </c>
      <c r="BD533" s="26">
        <v>509.07</v>
      </c>
      <c r="BE533" s="44">
        <v>509.07</v>
      </c>
      <c r="BF533" s="26">
        <f>SUM(AT533:BE533)</f>
        <v>6518.499999999999</v>
      </c>
    </row>
    <row r="534" spans="3:58" ht="12.75">
      <c r="C534" s="4" t="str">
        <f>C528</f>
        <v>Treasury Fee</v>
      </c>
      <c r="AT534" s="32">
        <v>250</v>
      </c>
      <c r="AU534" s="32"/>
      <c r="AX534" s="32"/>
      <c r="BF534" s="26">
        <f>SUM(AT534:BE534)</f>
        <v>250</v>
      </c>
    </row>
    <row r="535" spans="3:58" ht="13.5" thickBot="1">
      <c r="C535" s="4" t="str">
        <f>C529</f>
        <v>Intercept</v>
      </c>
      <c r="AT535" s="26">
        <v>27289.82</v>
      </c>
      <c r="AU535" s="26">
        <f>22870.47+16708.05</f>
        <v>39578.520000000004</v>
      </c>
      <c r="AV535" s="26">
        <f>22870.46+16708.05</f>
        <v>39578.509999999995</v>
      </c>
      <c r="AW535" s="26">
        <f>22870.46+16708.05</f>
        <v>39578.509999999995</v>
      </c>
      <c r="AX535" s="26">
        <f>22870.46+16708.05</f>
        <v>39578.509999999995</v>
      </c>
      <c r="AY535" s="26">
        <f>22870.46+16708.05</f>
        <v>39578.509999999995</v>
      </c>
      <c r="AZ535" s="26">
        <f>22870.46+16708.05</f>
        <v>39578.509999999995</v>
      </c>
      <c r="BA535" s="26">
        <f>18355.28+16340.97</f>
        <v>34696.25</v>
      </c>
      <c r="BB535" s="26">
        <f>18355.28+16340.98</f>
        <v>34696.259999999995</v>
      </c>
      <c r="BC535" s="26">
        <f>18355.29+16340.98</f>
        <v>34696.270000000004</v>
      </c>
      <c r="BD535" s="26">
        <f>18355.29+16340.98</f>
        <v>34696.270000000004</v>
      </c>
      <c r="BE535" s="44">
        <f>18355.29+16340.98</f>
        <v>34696.270000000004</v>
      </c>
      <c r="BF535" s="26">
        <f>SUM(AT535:BE535)</f>
        <v>438242.2100000001</v>
      </c>
    </row>
    <row r="536" spans="3:58" ht="13.5" thickBot="1">
      <c r="C536" s="6" t="s">
        <v>181</v>
      </c>
      <c r="AT536" s="27">
        <f aca="true" t="shared" si="133" ref="AT536:BF536">SUM(AT533:AT535)</f>
        <v>28107.42</v>
      </c>
      <c r="AU536" s="27">
        <f t="shared" si="133"/>
        <v>40146.12</v>
      </c>
      <c r="AV536" s="27">
        <f t="shared" si="133"/>
        <v>40146.09999999999</v>
      </c>
      <c r="AW536" s="27">
        <f t="shared" si="133"/>
        <v>40146.09999999999</v>
      </c>
      <c r="AX536" s="27">
        <f t="shared" si="133"/>
        <v>40146.09999999999</v>
      </c>
      <c r="AY536" s="27">
        <f t="shared" si="133"/>
        <v>40146.09999999999</v>
      </c>
      <c r="AZ536" s="27">
        <f t="shared" si="133"/>
        <v>40146.09999999999</v>
      </c>
      <c r="BA536" s="27">
        <f t="shared" si="133"/>
        <v>35205.32</v>
      </c>
      <c r="BB536" s="27">
        <f t="shared" si="133"/>
        <v>35205.329999999994</v>
      </c>
      <c r="BC536" s="27">
        <f t="shared" si="133"/>
        <v>35205.340000000004</v>
      </c>
      <c r="BD536" s="27">
        <f t="shared" si="133"/>
        <v>35205.340000000004</v>
      </c>
      <c r="BE536" s="45">
        <f t="shared" si="133"/>
        <v>35205.340000000004</v>
      </c>
      <c r="BF536" s="31">
        <f t="shared" si="133"/>
        <v>445010.7100000001</v>
      </c>
    </row>
    <row r="537" spans="3:58" ht="12.75">
      <c r="C537" s="12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46"/>
      <c r="BF537" s="28"/>
    </row>
    <row r="538" spans="1:3" ht="21">
      <c r="A538" s="16">
        <f>+A532+1</f>
        <v>70</v>
      </c>
      <c r="B538" s="21"/>
      <c r="C538" s="5" t="s">
        <v>182</v>
      </c>
    </row>
    <row r="539" spans="1:58" ht="12.75">
      <c r="A539" s="20"/>
      <c r="B539" s="20"/>
      <c r="C539" s="4" t="str">
        <f>C533</f>
        <v>Debt Reserve</v>
      </c>
      <c r="AT539" s="26">
        <v>0</v>
      </c>
      <c r="AU539" s="26">
        <v>0</v>
      </c>
      <c r="AV539" s="26">
        <v>0</v>
      </c>
      <c r="AW539" s="26">
        <v>0</v>
      </c>
      <c r="AX539" s="26">
        <v>0</v>
      </c>
      <c r="AY539" s="26">
        <v>0</v>
      </c>
      <c r="AZ539" s="26">
        <v>0</v>
      </c>
      <c r="BA539" s="26">
        <v>0</v>
      </c>
      <c r="BB539" s="26">
        <v>0</v>
      </c>
      <c r="BC539" s="26">
        <v>0</v>
      </c>
      <c r="BD539" s="26">
        <v>0</v>
      </c>
      <c r="BE539" s="44">
        <v>0</v>
      </c>
      <c r="BF539" s="26">
        <f>SUM(AT539:BE539)</f>
        <v>0</v>
      </c>
    </row>
    <row r="540" spans="3:58" ht="12.75">
      <c r="C540" s="4" t="str">
        <f>C534</f>
        <v>Treasury Fee</v>
      </c>
      <c r="AT540" s="32">
        <v>250</v>
      </c>
      <c r="AU540" s="32"/>
      <c r="AX540" s="32"/>
      <c r="BF540" s="26">
        <f>SUM(AT540:BE540)</f>
        <v>250</v>
      </c>
    </row>
    <row r="541" spans="3:58" ht="13.5" thickBot="1">
      <c r="C541" s="4" t="str">
        <f>C535</f>
        <v>Intercept</v>
      </c>
      <c r="AT541" s="26">
        <v>36748.55</v>
      </c>
      <c r="AU541" s="26">
        <v>36748.55</v>
      </c>
      <c r="AV541" s="26">
        <v>36748.55</v>
      </c>
      <c r="AW541" s="26">
        <v>36748.55</v>
      </c>
      <c r="AX541" s="26">
        <v>36748.55</v>
      </c>
      <c r="AY541" s="26">
        <v>36748.55</v>
      </c>
      <c r="AZ541" s="26">
        <v>37161.46</v>
      </c>
      <c r="BA541" s="26">
        <v>37161.46</v>
      </c>
      <c r="BB541" s="26">
        <v>37161.46</v>
      </c>
      <c r="BC541" s="26">
        <v>37161.46</v>
      </c>
      <c r="BD541" s="26">
        <v>37161.46</v>
      </c>
      <c r="BE541" s="44">
        <v>37161.46</v>
      </c>
      <c r="BF541" s="26">
        <f>SUM(AT541:BE541)</f>
        <v>443460.06000000006</v>
      </c>
    </row>
    <row r="542" spans="3:58" ht="13.5" thickBot="1">
      <c r="C542" s="6" t="s">
        <v>128</v>
      </c>
      <c r="AT542" s="27">
        <f aca="true" t="shared" si="134" ref="AT542:BF542">SUM(AT539:AT541)</f>
        <v>36998.55</v>
      </c>
      <c r="AU542" s="27">
        <f t="shared" si="134"/>
        <v>36748.55</v>
      </c>
      <c r="AV542" s="27">
        <f t="shared" si="134"/>
        <v>36748.55</v>
      </c>
      <c r="AW542" s="27">
        <f t="shared" si="134"/>
        <v>36748.55</v>
      </c>
      <c r="AX542" s="27">
        <f t="shared" si="134"/>
        <v>36748.55</v>
      </c>
      <c r="AY542" s="27">
        <f t="shared" si="134"/>
        <v>36748.55</v>
      </c>
      <c r="AZ542" s="27">
        <f t="shared" si="134"/>
        <v>37161.46</v>
      </c>
      <c r="BA542" s="27">
        <f t="shared" si="134"/>
        <v>37161.46</v>
      </c>
      <c r="BB542" s="27">
        <f t="shared" si="134"/>
        <v>37161.46</v>
      </c>
      <c r="BC542" s="27">
        <f t="shared" si="134"/>
        <v>37161.46</v>
      </c>
      <c r="BD542" s="27">
        <f t="shared" si="134"/>
        <v>37161.46</v>
      </c>
      <c r="BE542" s="45">
        <f t="shared" si="134"/>
        <v>37161.46</v>
      </c>
      <c r="BF542" s="31">
        <f t="shared" si="134"/>
        <v>443710.06000000006</v>
      </c>
    </row>
    <row r="543" spans="3:58" ht="12.75">
      <c r="C543" s="12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46"/>
      <c r="BF543" s="28"/>
    </row>
    <row r="544" spans="1:3" ht="21">
      <c r="A544" s="16">
        <f>+A538+1</f>
        <v>71</v>
      </c>
      <c r="B544" s="21"/>
      <c r="C544" s="5" t="s">
        <v>186</v>
      </c>
    </row>
    <row r="545" spans="1:58" ht="12.75">
      <c r="A545" s="20"/>
      <c r="B545" s="20"/>
      <c r="C545" s="4" t="str">
        <f>C539</f>
        <v>Debt Reserve</v>
      </c>
      <c r="AT545" s="26">
        <v>0</v>
      </c>
      <c r="AU545" s="26">
        <v>0</v>
      </c>
      <c r="AV545" s="26">
        <v>0</v>
      </c>
      <c r="AW545" s="26">
        <v>0</v>
      </c>
      <c r="AX545" s="26">
        <v>0</v>
      </c>
      <c r="AY545" s="26">
        <v>0</v>
      </c>
      <c r="AZ545" s="26">
        <v>0</v>
      </c>
      <c r="BA545" s="26">
        <v>0</v>
      </c>
      <c r="BB545" s="26">
        <v>0</v>
      </c>
      <c r="BC545" s="26">
        <v>0</v>
      </c>
      <c r="BD545" s="26">
        <v>0</v>
      </c>
      <c r="BE545" s="44">
        <v>0</v>
      </c>
      <c r="BF545" s="26">
        <f>SUM(AT545:BE545)</f>
        <v>0</v>
      </c>
    </row>
    <row r="546" spans="3:58" ht="12.75">
      <c r="C546" s="4" t="str">
        <f>C540</f>
        <v>Treasury Fee</v>
      </c>
      <c r="AT546" s="32"/>
      <c r="AU546" s="32"/>
      <c r="AV546">
        <v>208.33</v>
      </c>
      <c r="AX546" s="32"/>
      <c r="BF546" s="26">
        <f>SUM(AT546:BE546)</f>
        <v>208.33</v>
      </c>
    </row>
    <row r="547" spans="3:58" ht="13.5" thickBot="1">
      <c r="C547" s="4" t="str">
        <f>C541</f>
        <v>Intercept</v>
      </c>
      <c r="AT547" s="26">
        <v>0</v>
      </c>
      <c r="AU547" s="26">
        <v>0</v>
      </c>
      <c r="AV547" s="26">
        <v>0</v>
      </c>
      <c r="AW547" s="26">
        <f>3750+18754.38</f>
        <v>22504.38</v>
      </c>
      <c r="AX547" s="26">
        <f>3750+18754.37</f>
        <v>22504.37</v>
      </c>
      <c r="AY547" s="26">
        <f>15416.67+65916.88</f>
        <v>81333.55</v>
      </c>
      <c r="AZ547" s="26">
        <f>15416.67+65916.88</f>
        <v>81333.55</v>
      </c>
      <c r="BA547" s="26">
        <f>15416.67+65916.88</f>
        <v>81333.55</v>
      </c>
      <c r="BB547" s="26">
        <f>15416.67+65916.88</f>
        <v>81333.55</v>
      </c>
      <c r="BC547" s="26">
        <f>15416.67+65916.88</f>
        <v>81333.55</v>
      </c>
      <c r="BD547" s="26">
        <f>15416.65+65916.85</f>
        <v>81333.5</v>
      </c>
      <c r="BE547" s="44">
        <f>17083.33+65276.88</f>
        <v>82360.20999999999</v>
      </c>
      <c r="BF547" s="26">
        <f>SUM(AT547:BE547)</f>
        <v>615370.21</v>
      </c>
    </row>
    <row r="548" spans="3:58" ht="13.5" thickBot="1">
      <c r="C548" s="6" t="s">
        <v>163</v>
      </c>
      <c r="AT548" s="27">
        <f aca="true" t="shared" si="135" ref="AT548:BF548">SUM(AT545:AT547)</f>
        <v>0</v>
      </c>
      <c r="AU548" s="27">
        <f t="shared" si="135"/>
        <v>0</v>
      </c>
      <c r="AV548" s="27">
        <f t="shared" si="135"/>
        <v>208.33</v>
      </c>
      <c r="AW548" s="27">
        <f t="shared" si="135"/>
        <v>22504.38</v>
      </c>
      <c r="AX548" s="27">
        <f t="shared" si="135"/>
        <v>22504.37</v>
      </c>
      <c r="AY548" s="27">
        <f t="shared" si="135"/>
        <v>81333.55</v>
      </c>
      <c r="AZ548" s="27">
        <f t="shared" si="135"/>
        <v>81333.55</v>
      </c>
      <c r="BA548" s="27">
        <f t="shared" si="135"/>
        <v>81333.55</v>
      </c>
      <c r="BB548" s="27">
        <f t="shared" si="135"/>
        <v>81333.55</v>
      </c>
      <c r="BC548" s="27">
        <f t="shared" si="135"/>
        <v>81333.55</v>
      </c>
      <c r="BD548" s="27">
        <f t="shared" si="135"/>
        <v>81333.5</v>
      </c>
      <c r="BE548" s="45">
        <f t="shared" si="135"/>
        <v>82360.20999999999</v>
      </c>
      <c r="BF548" s="31">
        <f t="shared" si="135"/>
        <v>615578.5399999999</v>
      </c>
    </row>
    <row r="549" spans="3:58" ht="12.75">
      <c r="C549" s="12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46"/>
      <c r="BF549" s="28"/>
    </row>
    <row r="550" spans="1:3" ht="21">
      <c r="A550" s="16">
        <f>+A544+1</f>
        <v>72</v>
      </c>
      <c r="B550" s="21"/>
      <c r="C550" s="41" t="s">
        <v>184</v>
      </c>
    </row>
    <row r="551" spans="1:58" ht="12.75">
      <c r="A551" s="20"/>
      <c r="B551" s="20"/>
      <c r="C551" s="4" t="str">
        <f>C545</f>
        <v>Debt Reserve</v>
      </c>
      <c r="AT551" s="26">
        <v>0</v>
      </c>
      <c r="AU551" s="26">
        <v>0</v>
      </c>
      <c r="AV551" s="26">
        <v>0</v>
      </c>
      <c r="AW551" s="26">
        <v>0</v>
      </c>
      <c r="AX551" s="26">
        <v>0</v>
      </c>
      <c r="AY551" s="26">
        <v>0</v>
      </c>
      <c r="AZ551" s="26">
        <v>0</v>
      </c>
      <c r="BA551" s="26">
        <v>0</v>
      </c>
      <c r="BB551" s="26">
        <v>0</v>
      </c>
      <c r="BC551" s="26">
        <v>0</v>
      </c>
      <c r="BD551" s="26">
        <v>0</v>
      </c>
      <c r="BE551" s="44">
        <v>0</v>
      </c>
      <c r="BF551" s="26">
        <f>SUM(AT551:BE551)</f>
        <v>0</v>
      </c>
    </row>
    <row r="552" spans="3:58" ht="12.75">
      <c r="C552" s="4" t="str">
        <f>C546</f>
        <v>Treasury Fee</v>
      </c>
      <c r="AT552" s="32"/>
      <c r="AU552" s="32"/>
      <c r="AV552">
        <v>208.33</v>
      </c>
      <c r="AX552" s="32"/>
      <c r="BF552" s="26">
        <f>SUM(AT552:BE552)</f>
        <v>208.33</v>
      </c>
    </row>
    <row r="553" spans="3:58" ht="13.5" thickBot="1">
      <c r="C553" s="4" t="str">
        <f>C547</f>
        <v>Intercept</v>
      </c>
      <c r="AT553" s="26">
        <v>0</v>
      </c>
      <c r="AU553" s="26">
        <v>0</v>
      </c>
      <c r="AV553" s="26">
        <v>9029.07</v>
      </c>
      <c r="AW553" s="26">
        <v>9029.07</v>
      </c>
      <c r="AX553" s="26">
        <v>9029.07</v>
      </c>
      <c r="AY553" s="26">
        <v>9029.07</v>
      </c>
      <c r="AZ553" s="26">
        <v>21343.13</v>
      </c>
      <c r="BA553" s="26">
        <v>21343.13</v>
      </c>
      <c r="BB553" s="26">
        <v>21343.13</v>
      </c>
      <c r="BC553" s="26">
        <v>21343.13</v>
      </c>
      <c r="BD553" s="26">
        <v>21343.13</v>
      </c>
      <c r="BE553" s="44">
        <v>21343.13</v>
      </c>
      <c r="BF553" s="26">
        <f>SUM(AT553:BE553)</f>
        <v>164175.06000000003</v>
      </c>
    </row>
    <row r="554" spans="3:58" ht="13.5" thickBot="1">
      <c r="C554" s="6" t="s">
        <v>106</v>
      </c>
      <c r="AT554" s="27">
        <f aca="true" t="shared" si="136" ref="AT554:BF554">SUM(AT551:AT553)</f>
        <v>0</v>
      </c>
      <c r="AU554" s="27">
        <f t="shared" si="136"/>
        <v>0</v>
      </c>
      <c r="AV554" s="27">
        <f t="shared" si="136"/>
        <v>9237.4</v>
      </c>
      <c r="AW554" s="27">
        <f t="shared" si="136"/>
        <v>9029.07</v>
      </c>
      <c r="AX554" s="27">
        <f t="shared" si="136"/>
        <v>9029.07</v>
      </c>
      <c r="AY554" s="27">
        <f t="shared" si="136"/>
        <v>9029.07</v>
      </c>
      <c r="AZ554" s="27">
        <f t="shared" si="136"/>
        <v>21343.13</v>
      </c>
      <c r="BA554" s="27">
        <f t="shared" si="136"/>
        <v>21343.13</v>
      </c>
      <c r="BB554" s="27">
        <f t="shared" si="136"/>
        <v>21343.13</v>
      </c>
      <c r="BC554" s="27">
        <f t="shared" si="136"/>
        <v>21343.13</v>
      </c>
      <c r="BD554" s="27">
        <f t="shared" si="136"/>
        <v>21343.13</v>
      </c>
      <c r="BE554" s="45">
        <f t="shared" si="136"/>
        <v>21343.13</v>
      </c>
      <c r="BF554" s="31">
        <f t="shared" si="136"/>
        <v>164383.39</v>
      </c>
    </row>
    <row r="555" spans="3:58" ht="12.75">
      <c r="C555" s="12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46"/>
      <c r="BF555" s="28"/>
    </row>
    <row r="556" spans="1:3" ht="21">
      <c r="A556" s="16">
        <f>+A550+1</f>
        <v>73</v>
      </c>
      <c r="B556" s="21"/>
      <c r="C556" s="5" t="s">
        <v>187</v>
      </c>
    </row>
    <row r="557" spans="1:58" ht="12.75">
      <c r="A557" s="20"/>
      <c r="B557" s="20"/>
      <c r="C557" s="4" t="str">
        <f>C551</f>
        <v>Debt Reserve</v>
      </c>
      <c r="AT557" s="26">
        <v>0</v>
      </c>
      <c r="AU557" s="26">
        <v>0</v>
      </c>
      <c r="AV557" s="26">
        <v>0</v>
      </c>
      <c r="AW557" s="26">
        <v>0</v>
      </c>
      <c r="AX557" s="26">
        <v>0</v>
      </c>
      <c r="AY557" s="26">
        <v>0</v>
      </c>
      <c r="AZ557" s="26">
        <v>0</v>
      </c>
      <c r="BA557" s="26">
        <v>0</v>
      </c>
      <c r="BB557" s="26">
        <v>0</v>
      </c>
      <c r="BC557" s="26">
        <v>0</v>
      </c>
      <c r="BD557" s="26">
        <v>0</v>
      </c>
      <c r="BE557" s="44">
        <v>0</v>
      </c>
      <c r="BF557" s="26">
        <f>SUM(AT557:BE557)</f>
        <v>0</v>
      </c>
    </row>
    <row r="558" spans="3:58" ht="12.75">
      <c r="C558" s="4" t="str">
        <f>C552</f>
        <v>Treasury Fee</v>
      </c>
      <c r="AT558" s="32"/>
      <c r="AU558" s="32"/>
      <c r="AX558" s="32">
        <v>166.66</v>
      </c>
      <c r="BF558" s="26">
        <f>SUM(AT558:BE558)</f>
        <v>166.66</v>
      </c>
    </row>
    <row r="559" spans="3:58" ht="13.5" thickBot="1">
      <c r="C559" s="4" t="str">
        <f>C553</f>
        <v>Intercept</v>
      </c>
      <c r="AT559" s="26">
        <v>0</v>
      </c>
      <c r="AU559" s="26">
        <v>0</v>
      </c>
      <c r="AV559" s="26">
        <v>0</v>
      </c>
      <c r="AW559" s="26">
        <v>0</v>
      </c>
      <c r="AX559" s="26">
        <v>0</v>
      </c>
      <c r="AY559" s="26">
        <v>0</v>
      </c>
      <c r="AZ559" s="26">
        <v>0</v>
      </c>
      <c r="BA559" s="26">
        <v>0</v>
      </c>
      <c r="BB559" s="26">
        <v>0</v>
      </c>
      <c r="BC559" s="26">
        <v>0</v>
      </c>
      <c r="BD559" s="26">
        <v>0</v>
      </c>
      <c r="BE559" s="44">
        <v>0</v>
      </c>
      <c r="BF559" s="26">
        <f>SUM(AT559:BE559)</f>
        <v>0</v>
      </c>
    </row>
    <row r="560" spans="3:58" ht="13.5" thickBot="1">
      <c r="C560" s="6" t="s">
        <v>188</v>
      </c>
      <c r="AT560" s="27">
        <f aca="true" t="shared" si="137" ref="AT560:BF560">SUM(AT557:AT559)</f>
        <v>0</v>
      </c>
      <c r="AU560" s="27">
        <f t="shared" si="137"/>
        <v>0</v>
      </c>
      <c r="AV560" s="27">
        <f t="shared" si="137"/>
        <v>0</v>
      </c>
      <c r="AW560" s="27">
        <f t="shared" si="137"/>
        <v>0</v>
      </c>
      <c r="AX560" s="27">
        <f t="shared" si="137"/>
        <v>166.66</v>
      </c>
      <c r="AY560" s="27">
        <f t="shared" si="137"/>
        <v>0</v>
      </c>
      <c r="AZ560" s="27">
        <f t="shared" si="137"/>
        <v>0</v>
      </c>
      <c r="BA560" s="27">
        <f t="shared" si="137"/>
        <v>0</v>
      </c>
      <c r="BB560" s="27">
        <f t="shared" si="137"/>
        <v>0</v>
      </c>
      <c r="BC560" s="27">
        <f t="shared" si="137"/>
        <v>0</v>
      </c>
      <c r="BD560" s="27">
        <f t="shared" si="137"/>
        <v>0</v>
      </c>
      <c r="BE560" s="45">
        <f t="shared" si="137"/>
        <v>0</v>
      </c>
      <c r="BF560" s="31">
        <f t="shared" si="137"/>
        <v>166.66</v>
      </c>
    </row>
    <row r="561" spans="3:58" ht="12.75">
      <c r="C561" s="12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46"/>
      <c r="BF561" s="28"/>
    </row>
    <row r="562" spans="1:3" ht="21">
      <c r="A562" s="16">
        <f>+A556+1</f>
        <v>74</v>
      </c>
      <c r="B562" s="21"/>
      <c r="C562" s="5" t="s">
        <v>189</v>
      </c>
    </row>
    <row r="563" spans="1:58" ht="12.75">
      <c r="A563" s="20"/>
      <c r="B563" s="20"/>
      <c r="C563" s="4" t="str">
        <f>C557</f>
        <v>Debt Reserve</v>
      </c>
      <c r="AT563" s="26">
        <v>0</v>
      </c>
      <c r="AU563" s="26">
        <v>0</v>
      </c>
      <c r="AV563" s="26">
        <v>0</v>
      </c>
      <c r="AW563" s="26">
        <v>0</v>
      </c>
      <c r="AX563" s="26">
        <v>0</v>
      </c>
      <c r="AY563" s="26">
        <v>0</v>
      </c>
      <c r="AZ563" s="26">
        <v>0</v>
      </c>
      <c r="BA563" s="26">
        <v>0</v>
      </c>
      <c r="BB563" s="26">
        <v>0</v>
      </c>
      <c r="BC563" s="26">
        <v>0</v>
      </c>
      <c r="BD563" s="26">
        <v>0</v>
      </c>
      <c r="BE563" s="44">
        <v>0</v>
      </c>
      <c r="BF563" s="26">
        <f>SUM(AT563:BE563)</f>
        <v>0</v>
      </c>
    </row>
    <row r="564" spans="3:58" ht="12.75">
      <c r="C564" s="4" t="str">
        <f>C558</f>
        <v>Treasury Fee</v>
      </c>
      <c r="AT564" s="32"/>
      <c r="AU564" s="32"/>
      <c r="AX564" s="32">
        <v>166.66</v>
      </c>
      <c r="BF564" s="26">
        <f>SUM(AT564:BE564)</f>
        <v>166.66</v>
      </c>
    </row>
    <row r="565" spans="3:58" ht="13.5" thickBot="1">
      <c r="C565" s="4" t="str">
        <f>C559</f>
        <v>Intercept</v>
      </c>
      <c r="AT565" s="26">
        <v>0</v>
      </c>
      <c r="AU565" s="26">
        <v>0</v>
      </c>
      <c r="AV565" s="26">
        <v>0</v>
      </c>
      <c r="AW565" s="26">
        <v>0</v>
      </c>
      <c r="AX565" s="26">
        <v>0</v>
      </c>
      <c r="AY565" s="26">
        <v>0</v>
      </c>
      <c r="AZ565" s="26">
        <v>0</v>
      </c>
      <c r="BA565" s="26">
        <v>0</v>
      </c>
      <c r="BB565" s="26">
        <v>0</v>
      </c>
      <c r="BC565" s="26">
        <v>0</v>
      </c>
      <c r="BD565" s="26">
        <v>0</v>
      </c>
      <c r="BE565" s="44">
        <v>0</v>
      </c>
      <c r="BF565" s="26">
        <f>SUM(AT565:BE565)</f>
        <v>0</v>
      </c>
    </row>
    <row r="566" spans="3:58" ht="13.5" thickBot="1">
      <c r="C566" s="6" t="s">
        <v>190</v>
      </c>
      <c r="AT566" s="27">
        <f aca="true" t="shared" si="138" ref="AT566:BF566">SUM(AT563:AT565)</f>
        <v>0</v>
      </c>
      <c r="AU566" s="27">
        <f t="shared" si="138"/>
        <v>0</v>
      </c>
      <c r="AV566" s="27">
        <f t="shared" si="138"/>
        <v>0</v>
      </c>
      <c r="AW566" s="27">
        <f t="shared" si="138"/>
        <v>0</v>
      </c>
      <c r="AX566" s="27">
        <f t="shared" si="138"/>
        <v>166.66</v>
      </c>
      <c r="AY566" s="27">
        <f t="shared" si="138"/>
        <v>0</v>
      </c>
      <c r="AZ566" s="27">
        <f t="shared" si="138"/>
        <v>0</v>
      </c>
      <c r="BA566" s="27">
        <f t="shared" si="138"/>
        <v>0</v>
      </c>
      <c r="BB566" s="27">
        <f t="shared" si="138"/>
        <v>0</v>
      </c>
      <c r="BC566" s="27">
        <f t="shared" si="138"/>
        <v>0</v>
      </c>
      <c r="BD566" s="27">
        <f t="shared" si="138"/>
        <v>0</v>
      </c>
      <c r="BE566" s="45">
        <f t="shared" si="138"/>
        <v>0</v>
      </c>
      <c r="BF566" s="31">
        <f t="shared" si="138"/>
        <v>166.66</v>
      </c>
    </row>
    <row r="567" spans="3:58" ht="12.75">
      <c r="C567" s="12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46"/>
      <c r="BF567" s="28"/>
    </row>
    <row r="568" spans="1:3" ht="21">
      <c r="A568" s="16">
        <f>+A562+1</f>
        <v>75</v>
      </c>
      <c r="B568" s="21"/>
      <c r="C568" s="5" t="s">
        <v>191</v>
      </c>
    </row>
    <row r="569" spans="1:58" ht="12.75">
      <c r="A569" s="20"/>
      <c r="B569" s="20"/>
      <c r="C569" s="4" t="str">
        <f>C563</f>
        <v>Debt Reserve</v>
      </c>
      <c r="AT569" s="26">
        <v>0</v>
      </c>
      <c r="AU569" s="26">
        <v>0</v>
      </c>
      <c r="AV569" s="26">
        <v>0</v>
      </c>
      <c r="AW569" s="26">
        <v>0</v>
      </c>
      <c r="AX569" s="26">
        <v>0</v>
      </c>
      <c r="AY569" s="26">
        <v>0</v>
      </c>
      <c r="AZ569" s="26">
        <v>0</v>
      </c>
      <c r="BA569" s="26">
        <v>0</v>
      </c>
      <c r="BB569" s="26">
        <v>0</v>
      </c>
      <c r="BC569" s="26">
        <v>0</v>
      </c>
      <c r="BD569" s="26">
        <v>0</v>
      </c>
      <c r="BE569" s="44">
        <v>0</v>
      </c>
      <c r="BF569" s="26">
        <f>SUM(AT569:BE569)</f>
        <v>0</v>
      </c>
    </row>
    <row r="570" spans="3:58" ht="12.75">
      <c r="C570" s="4" t="str">
        <f>C564</f>
        <v>Treasury Fee</v>
      </c>
      <c r="AT570" s="32"/>
      <c r="AU570" s="32"/>
      <c r="AX570" s="32"/>
      <c r="AY570">
        <v>145.83</v>
      </c>
      <c r="BF570" s="26">
        <f>SUM(AT570:BE570)</f>
        <v>145.83</v>
      </c>
    </row>
    <row r="571" spans="3:58" ht="13.5" thickBot="1">
      <c r="C571" s="4" t="str">
        <f>C565</f>
        <v>Intercept</v>
      </c>
      <c r="AT571" s="26">
        <v>0</v>
      </c>
      <c r="AU571" s="26">
        <v>0</v>
      </c>
      <c r="AV571" s="26">
        <v>0</v>
      </c>
      <c r="AW571" s="26">
        <v>0</v>
      </c>
      <c r="AX571" s="26">
        <v>0</v>
      </c>
      <c r="AY571" s="26">
        <v>27312.5</v>
      </c>
      <c r="AZ571" s="26">
        <v>27312.5</v>
      </c>
      <c r="BA571" s="26">
        <v>27312.5</v>
      </c>
      <c r="BB571" s="26">
        <v>27312.5</v>
      </c>
      <c r="BC571" s="26">
        <v>27312.5</v>
      </c>
      <c r="BD571" s="26">
        <f>2916.67+22760.42</f>
        <v>25677.089999999997</v>
      </c>
      <c r="BE571" s="44">
        <f>2916.67+22760.42</f>
        <v>25677.089999999997</v>
      </c>
      <c r="BF571" s="26">
        <f>SUM(AT571:BE571)</f>
        <v>187916.68</v>
      </c>
    </row>
    <row r="572" spans="3:58" ht="13.5" thickBot="1">
      <c r="C572" s="6" t="s">
        <v>192</v>
      </c>
      <c r="AT572" s="27">
        <f aca="true" t="shared" si="139" ref="AT572:BF572">SUM(AT569:AT571)</f>
        <v>0</v>
      </c>
      <c r="AU572" s="27">
        <f t="shared" si="139"/>
        <v>0</v>
      </c>
      <c r="AV572" s="27">
        <f t="shared" si="139"/>
        <v>0</v>
      </c>
      <c r="AW572" s="27">
        <f t="shared" si="139"/>
        <v>0</v>
      </c>
      <c r="AX572" s="27">
        <f t="shared" si="139"/>
        <v>0</v>
      </c>
      <c r="AY572" s="27">
        <f t="shared" si="139"/>
        <v>27458.33</v>
      </c>
      <c r="AZ572" s="27">
        <f t="shared" si="139"/>
        <v>27312.5</v>
      </c>
      <c r="BA572" s="27">
        <f t="shared" si="139"/>
        <v>27312.5</v>
      </c>
      <c r="BB572" s="27">
        <f t="shared" si="139"/>
        <v>27312.5</v>
      </c>
      <c r="BC572" s="27">
        <f t="shared" si="139"/>
        <v>27312.5</v>
      </c>
      <c r="BD572" s="27">
        <f t="shared" si="139"/>
        <v>25677.089999999997</v>
      </c>
      <c r="BE572" s="45">
        <f t="shared" si="139"/>
        <v>25677.089999999997</v>
      </c>
      <c r="BF572" s="31">
        <f t="shared" si="139"/>
        <v>188062.50999999998</v>
      </c>
    </row>
    <row r="573" spans="3:58" ht="12.75">
      <c r="C573" s="12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46"/>
      <c r="BF573" s="28"/>
    </row>
    <row r="574" spans="1:58" ht="21">
      <c r="A574" s="16">
        <f>+A568+1</f>
        <v>76</v>
      </c>
      <c r="B574" s="21"/>
      <c r="C574" s="5" t="s">
        <v>196</v>
      </c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46"/>
      <c r="BF574" s="28"/>
    </row>
    <row r="575" spans="1:58" ht="12.75">
      <c r="A575" s="20"/>
      <c r="B575" s="20"/>
      <c r="C575" s="4" t="str">
        <f>C569</f>
        <v>Debt Reserve</v>
      </c>
      <c r="AT575" s="26">
        <v>0</v>
      </c>
      <c r="AU575" s="26">
        <v>0</v>
      </c>
      <c r="AV575" s="26">
        <v>0</v>
      </c>
      <c r="AW575" s="26">
        <v>0</v>
      </c>
      <c r="AX575" s="26">
        <v>0</v>
      </c>
      <c r="AY575" s="26">
        <v>0</v>
      </c>
      <c r="AZ575" s="26">
        <v>0</v>
      </c>
      <c r="BA575" s="26">
        <v>0</v>
      </c>
      <c r="BB575" s="26">
        <v>0</v>
      </c>
      <c r="BC575" s="26">
        <v>1683.33</v>
      </c>
      <c r="BD575" s="26">
        <v>1683.33</v>
      </c>
      <c r="BE575" s="44">
        <v>1683.33</v>
      </c>
      <c r="BF575" s="26">
        <f>SUM(AT575:BE575)</f>
        <v>5049.99</v>
      </c>
    </row>
    <row r="576" spans="3:58" ht="12.75">
      <c r="C576" s="4" t="str">
        <f>C570</f>
        <v>Treasury Fee</v>
      </c>
      <c r="AT576" s="32"/>
      <c r="AU576" s="32"/>
      <c r="AX576" s="32"/>
      <c r="BC576" s="32">
        <v>62.5</v>
      </c>
      <c r="BF576" s="26">
        <f>SUM(AT576:BE576)</f>
        <v>62.5</v>
      </c>
    </row>
    <row r="577" spans="3:58" ht="13.5" thickBot="1">
      <c r="C577" s="4" t="str">
        <f>C571</f>
        <v>Intercept</v>
      </c>
      <c r="AT577" s="26">
        <v>0</v>
      </c>
      <c r="AU577" s="26">
        <v>0</v>
      </c>
      <c r="AV577" s="26">
        <v>0</v>
      </c>
      <c r="AW577" s="26">
        <v>0</v>
      </c>
      <c r="AX577" s="26">
        <v>0</v>
      </c>
      <c r="AY577" s="26">
        <v>0</v>
      </c>
      <c r="AZ577" s="26">
        <v>0</v>
      </c>
      <c r="BA577" s="26">
        <v>0</v>
      </c>
      <c r="BB577" s="26">
        <v>0</v>
      </c>
      <c r="BC577" s="26">
        <f>26111.11+75979.77</f>
        <v>102090.88</v>
      </c>
      <c r="BD577" s="26">
        <f>26111.11+75979.77</f>
        <v>102090.88</v>
      </c>
      <c r="BE577" s="44">
        <f>26111.11+75979.78</f>
        <v>102090.89</v>
      </c>
      <c r="BF577" s="26">
        <f>SUM(AT577:BE577)</f>
        <v>306272.65</v>
      </c>
    </row>
    <row r="578" spans="3:58" ht="13.5" thickBot="1">
      <c r="C578" s="6" t="s">
        <v>197</v>
      </c>
      <c r="AT578" s="27">
        <f aca="true" t="shared" si="140" ref="AT578:BF578">SUM(AT575:AT577)</f>
        <v>0</v>
      </c>
      <c r="AU578" s="27">
        <f t="shared" si="140"/>
        <v>0</v>
      </c>
      <c r="AV578" s="27">
        <f t="shared" si="140"/>
        <v>0</v>
      </c>
      <c r="AW578" s="27">
        <f t="shared" si="140"/>
        <v>0</v>
      </c>
      <c r="AX578" s="27">
        <f t="shared" si="140"/>
        <v>0</v>
      </c>
      <c r="AY578" s="27">
        <f t="shared" si="140"/>
        <v>0</v>
      </c>
      <c r="AZ578" s="27">
        <f t="shared" si="140"/>
        <v>0</v>
      </c>
      <c r="BA578" s="27">
        <f t="shared" si="140"/>
        <v>0</v>
      </c>
      <c r="BB578" s="27">
        <f t="shared" si="140"/>
        <v>0</v>
      </c>
      <c r="BC578" s="27">
        <f t="shared" si="140"/>
        <v>103836.71</v>
      </c>
      <c r="BD578" s="27">
        <f t="shared" si="140"/>
        <v>103774.21</v>
      </c>
      <c r="BE578" s="45">
        <f t="shared" si="140"/>
        <v>103774.22</v>
      </c>
      <c r="BF578" s="31">
        <f t="shared" si="140"/>
        <v>311385.14</v>
      </c>
    </row>
    <row r="579" ht="15.75">
      <c r="C579" s="5" t="s">
        <v>41</v>
      </c>
    </row>
    <row r="580" spans="3:58" ht="15.75">
      <c r="C580" s="4" t="s">
        <v>42</v>
      </c>
      <c r="AT580" s="29">
        <f>SUM(AT5,AT11,AT17,AT23,AT29,AT35,AT41,AT47,AT53,AT59,AT65,AT71,AT77,AT83,AT89,AT95,AT101,AT107,AT113,AT119,AT125,AT131,AT137,AT143,AT149,AT155,AT161,AT167,AT173,AT179)+SUM(AT185,AT191,AT197,AT203,AT209,AT215,AT221,AT227,AT233,AT239,AT245,AT251,AT257,AT263,AT269,AT275,AT281,AT287,AT293,AT299,AT305,AT311,AT317,AT323,AT329,AT335,AT341,AT347,AT353,AT359)+SUM(AT365,AT371,AT377,AT383,AT389,AT395,AT401,AT407,AT413,AT419,AT425,AT431,AT437,AT443,AT449,AT455,AT461,AT467,AT473,AT479,AT485,AT491,AT497,AT503,AT509,AT515,AT521,AT527,AT533,AT539)+SUM(AT545,AT551,AT557,AT563,AT569,AT575)</f>
        <v>33025.51</v>
      </c>
      <c r="AU580" s="29">
        <f aca="true" t="shared" si="141" ref="AU580:BE580">SUM(AU5,AU11,AU17,AU23,AU29,AU35,AU41,AU47,AU53,AU59,AU65,AU71,AU77,AU83,AU89,AU95,AU101,AU107,AU113,AU119,AU125,AU131,AU137,AU143,AU149,AU155,AU161,AU167,AU173,AU179)+SUM(AU185,AU191,AU197,AU203,AU209,AU215,AU221,AU227,AU233,AU239,AU245,AU251,AU257,AU263,AU269,AU275,AU281,AU287,AU293,AU299,AU305,AU311,AU317,AU323,AU329,AU335,AU341,AU347,AU353,AU359)+SUM(AU365,AU371,AU377,AU383,AU389,AU395,AU401,AU407,AU413,AU419,AU425,AU431,AU437,AU443,AU449,AU455,AU461,AU467,AU473,AU479,AU485,AU491,AU497,AU503,AU509,AU515,AU521,AU527,AU533,AU539)+SUM(AU545,AU551,AU557,AU563,AU569,AU575)</f>
        <v>33025.51</v>
      </c>
      <c r="AV580" s="29">
        <f t="shared" si="141"/>
        <v>32962.16</v>
      </c>
      <c r="AW580" s="29">
        <f t="shared" si="141"/>
        <v>32873</v>
      </c>
      <c r="AX580" s="29">
        <f t="shared" si="141"/>
        <v>32818.82</v>
      </c>
      <c r="AY580" s="29">
        <f t="shared" si="141"/>
        <v>32775.48</v>
      </c>
      <c r="AZ580" s="29">
        <f t="shared" si="141"/>
        <v>32730.52</v>
      </c>
      <c r="BA580" s="29">
        <f t="shared" si="141"/>
        <v>32672</v>
      </c>
      <c r="BB580" s="29">
        <f t="shared" si="141"/>
        <v>32650.33</v>
      </c>
      <c r="BC580" s="29">
        <f t="shared" si="141"/>
        <v>33713.17</v>
      </c>
      <c r="BD580" s="29">
        <f t="shared" si="141"/>
        <v>33645.67</v>
      </c>
      <c r="BE580" s="47">
        <f t="shared" si="141"/>
        <v>33488.26</v>
      </c>
      <c r="BF580" s="29">
        <f>SUM(AT580:BE580)</f>
        <v>396380.43</v>
      </c>
    </row>
    <row r="581" spans="3:58" ht="15.75">
      <c r="C581" s="4" t="s">
        <v>43</v>
      </c>
      <c r="AT581" s="29">
        <f>SUM(AT6,AT12,AT18,AT24,AT30,AT36,AT42,AT48,AT54,AT60,AT66,AT72,AT78,AT84,AT90,AT96,AT102,AT108,AT114,AT120,AT126,AT132,AT138,AT144,AT150,AT156,AT162,AT168,AT174,AT180)+SUM(AT186,AT192,AT198,AT204,AT210,AT216,AT222,AT228,AT234,AT240,AT246,AT252,AT258,AT264,AT270,AT276,AT282,AT288,AT294,AT300,AT306,AT312,AT318,AT324,AT330,AT336,AT342,AT348,AT354,AT360)+SUM(AT366,AT372,AT378,AT384,AT390,AT396,AT402,AT408,,AT414,AT420,AT426,AT432,AT438,AT444,AT450,AT456,AT462,AT468,AT474,AT480,AT486,AT492,AT498,AT504,AT510,AT516,AT522,AT528,AT534)+SUM(AT540,AT546,AT552,AT558,AT564,AT570,AT576)</f>
        <v>17999.989999999998</v>
      </c>
      <c r="AU581" s="29">
        <f aca="true" t="shared" si="142" ref="AU581:BE581">SUM(AU6,AU12,AU18,AU24,AU30,AU36,AU42,AU48,AU54,AU60,AU66,AU72,AU78,AU84,AU90,AU96,AU102,AU108,AU114,AU120,AU126,AU132,AU138,AU144,AU150,AU156,AU162,AU168,AU174,AU180)+SUM(AU186,AU192,AU198,AU204,AU210,AU216,AU222,AU228,AU234,AU240,AU246,AU252,AU258,AU264,AU270,AU276,AU282,AU288,AU294,AU300,AU306,AU312,AU318,AU324,AU330,AU336,AU342,AU348,AU354,AU360)+SUM(AU366,AU372,AU378,AU384,AU390,AU396,AU402,AU408,,AU414,AU420,AU426,AU432,AU438,AU444,AU450,AU456,AU462,AU468,AU474,AU480,AU486,AU492,AU498,AU504,AU510,AU516,AU522,AU528,AU534)+SUM(AU540,AU546,AU552,AU558,AU564,AU570,AU576)</f>
        <v>0</v>
      </c>
      <c r="AV581" s="29">
        <f t="shared" si="142"/>
        <v>416.66</v>
      </c>
      <c r="AW581" s="29">
        <f t="shared" si="142"/>
        <v>0</v>
      </c>
      <c r="AX581" s="29">
        <f t="shared" si="142"/>
        <v>333.32</v>
      </c>
      <c r="AY581" s="29">
        <f t="shared" si="142"/>
        <v>145.83</v>
      </c>
      <c r="AZ581" s="29">
        <f t="shared" si="142"/>
        <v>0</v>
      </c>
      <c r="BA581" s="29">
        <f t="shared" si="142"/>
        <v>0</v>
      </c>
      <c r="BB581" s="29">
        <f t="shared" si="142"/>
        <v>0</v>
      </c>
      <c r="BC581" s="29">
        <f t="shared" si="142"/>
        <v>62.5</v>
      </c>
      <c r="BD581" s="29">
        <f t="shared" si="142"/>
        <v>0</v>
      </c>
      <c r="BE581" s="47">
        <f t="shared" si="142"/>
        <v>0</v>
      </c>
      <c r="BF581" s="29">
        <f>SUM(AT581:BE581)</f>
        <v>18958.3</v>
      </c>
    </row>
    <row r="582" spans="3:58" ht="15.75">
      <c r="C582" s="4" t="s">
        <v>44</v>
      </c>
      <c r="AT582" s="29">
        <f>SUM(AT7,AT13,AT19,AT25,AT31,AT37,AT43,AT49,AT55,AT61,AT67,AT73,AT79,AT85,AT91,AT97,AT103,AT109,AT115,AT121,AT127,AT133,AT139,AT145,AT151,AT157,AT163,AT169,AT175,AT181)+SUM(AT187,AT193,AT199,AT205,AT211,AT217,AT223,AT229,AT235,AT241,AT247,AT253,AT259,AT265,AT271,AT277,AT283,AT289,AT295,AT301,AT307,AT313,AT319,AT325,AT331,AT337,AT343,AT349,AT355,AT361)+SUM(AT367,AT373,AT379,AT385,AT391,AT397,AT403,AT409,AT415,AT421,AT427,AT433,AT439,AT445,AT451,AT457,AT463,AT469,AT475,AT481,AT487,AT493,AT499,AT505,AT511,AT517,AT523,AT529,AT535,AT541)+SUM(AT547,AT553,AT559,AT565,AT571,AT577)</f>
        <v>3928568.29</v>
      </c>
      <c r="AU582" s="29">
        <f aca="true" t="shared" si="143" ref="AU582:BE583">SUM(AU7,AU13,AU19,AU25,AU31,AU37,AU43,AU49,AU55,AU61,AU67,AU73,AU79,AU85,AU91,AU97,AU103,AU109,AU115,AU121,AU127,AU133,AU139,AU145,AU151,AU157,AU163,AU169,AU175,AU181)+SUM(AU187,AU193,AU199,AU205,AU211,AU217,AU223,AU229,AU235,AU241,AU247,AU253,AU259,AU265,AU271,AU277,AU283,AU289,AU295,AU301,AU307,AU313,AU319,AU325,AU331,AU337,AU343,AU349,AU355,AU361)+SUM(AU367,AU373,AU379,AU385,AU391,AU397,AU403,AU409,AU415,AU421,AU427,AU433,AU439,AU445,AU451,AU457,AU463,AU469,AU475,AU481,AU487,AU493,AU499,AU505,AU511,AU517,AU523,AU529,AU535,AU541)+SUM(AU547,AU553,AU559,AU565,AU571,AU577)</f>
        <v>3989939.4799999995</v>
      </c>
      <c r="AV582" s="29">
        <f t="shared" si="143"/>
        <v>3998558.4599999995</v>
      </c>
      <c r="AW582" s="29">
        <f t="shared" si="143"/>
        <v>4026631.0700000003</v>
      </c>
      <c r="AX582" s="29">
        <f t="shared" si="143"/>
        <v>4020958.5299999993</v>
      </c>
      <c r="AY582" s="29">
        <f t="shared" si="143"/>
        <v>4147285.7999999993</v>
      </c>
      <c r="AZ582" s="29">
        <f t="shared" si="143"/>
        <v>4160012.769999999</v>
      </c>
      <c r="BA582" s="29">
        <f t="shared" si="143"/>
        <v>4153932.5899999994</v>
      </c>
      <c r="BB582" s="29">
        <f t="shared" si="143"/>
        <v>4154143.5799999996</v>
      </c>
      <c r="BC582" s="29">
        <f t="shared" si="143"/>
        <v>4186427.28</v>
      </c>
      <c r="BD582" s="29">
        <f t="shared" si="143"/>
        <v>4184767.5399999996</v>
      </c>
      <c r="BE582" s="47">
        <f t="shared" si="143"/>
        <v>4224236.94</v>
      </c>
      <c r="BF582" s="29">
        <f>SUM(AT582:BE582)</f>
        <v>49175462.33</v>
      </c>
    </row>
    <row r="583" spans="3:58" ht="15.75">
      <c r="C583" s="22" t="s">
        <v>45</v>
      </c>
      <c r="AT583" s="29">
        <f>SUM(AT8,AT14,AT20,AT26,AT32,AT38,AT44,AT50,AT56,AT62,AT68,AT74,AT80,AT86,AT92,AT98,AT104,AT110,AT116,AT122,AT128,AT134,AT140,AT146,AT152,AT158,AT164,AT170,AT176,AT182)+SUM(AT188,AT194,AT200,AT206,AT212,AT218,AT224,AT230,AT236,AT242,AT248,AT254,AT260,AT266,AT272,AT278,AT284,AT290,AT296,AT302,AT308,AT314,AT320,AT326,AT332,AT338,AT344,AT350,AT356,AT362)+SUM(AT368,AT374,AT380,AT386,AT392,AT398,AT404,AT410,AT416,AT422,AT428,AT434,AT440,AT446,AT452,AT458,AT464,AT470,AT476,AT482,AT488,AT494,AT500,AT506,AT512,AT518,AT524,AT530,AT536,AT542)+SUM(AT548,AT554,AT560,AT566,AT572,AT578)</f>
        <v>3979593.7899999996</v>
      </c>
      <c r="AU583" s="29">
        <f t="shared" si="143"/>
        <v>4022964.9899999998</v>
      </c>
      <c r="AV583" s="29">
        <f t="shared" si="143"/>
        <v>4031937.2800000003</v>
      </c>
      <c r="AW583" s="29">
        <f t="shared" si="143"/>
        <v>4059504.0700000003</v>
      </c>
      <c r="AX583" s="29">
        <f t="shared" si="143"/>
        <v>4054110.67</v>
      </c>
      <c r="AY583" s="29">
        <f t="shared" si="143"/>
        <v>4180207.1100000003</v>
      </c>
      <c r="AZ583" s="29">
        <f t="shared" si="143"/>
        <v>4192743.2900000005</v>
      </c>
      <c r="BA583" s="29">
        <f t="shared" si="143"/>
        <v>4186604.5900000003</v>
      </c>
      <c r="BB583" s="29">
        <f t="shared" si="143"/>
        <v>4186793.9099999997</v>
      </c>
      <c r="BC583" s="29">
        <f t="shared" si="143"/>
        <v>4220202.949999999</v>
      </c>
      <c r="BD583" s="29">
        <f t="shared" si="143"/>
        <v>4218413.21</v>
      </c>
      <c r="BE583" s="47">
        <f t="shared" si="143"/>
        <v>4257725.2</v>
      </c>
      <c r="BF583" s="29">
        <f>SUM(AT583:BE583)</f>
        <v>49590801.059999995</v>
      </c>
    </row>
    <row r="584" ht="12.75">
      <c r="C584" s="4"/>
    </row>
    <row r="585" spans="2:3" ht="21">
      <c r="B585" s="7" t="s">
        <v>108</v>
      </c>
      <c r="C585" s="23" t="s">
        <v>88</v>
      </c>
    </row>
    <row r="586" spans="2:3" ht="21">
      <c r="B586" s="9" t="s">
        <v>109</v>
      </c>
      <c r="C586" s="24" t="s">
        <v>65</v>
      </c>
    </row>
    <row r="587" spans="2:3" ht="21">
      <c r="B587" s="35" t="s">
        <v>107</v>
      </c>
      <c r="C587" s="39" t="s">
        <v>60</v>
      </c>
    </row>
    <row r="588" ht="12.75">
      <c r="C588" s="4"/>
    </row>
    <row r="589" ht="12.75">
      <c r="C589" s="4"/>
    </row>
    <row r="590" ht="12.75">
      <c r="C590" s="4"/>
    </row>
    <row r="591" ht="12.75">
      <c r="C591" s="4"/>
    </row>
    <row r="592" ht="12.75">
      <c r="C592" s="4"/>
    </row>
    <row r="593" ht="12.75">
      <c r="C593" s="4"/>
    </row>
    <row r="594" ht="12.75">
      <c r="C594" s="4"/>
    </row>
    <row r="595" ht="12.75">
      <c r="C595" s="4"/>
    </row>
    <row r="596" ht="12.75">
      <c r="C596" s="4"/>
    </row>
    <row r="597" ht="12.75">
      <c r="C597" s="4"/>
    </row>
    <row r="598" ht="12.75">
      <c r="C598" s="4"/>
    </row>
    <row r="599" ht="12.75">
      <c r="C599" s="4"/>
    </row>
    <row r="600" ht="12.75">
      <c r="C600" s="4"/>
    </row>
    <row r="601" ht="12.75">
      <c r="C601" s="4"/>
    </row>
    <row r="602" ht="12.75">
      <c r="C602" s="4"/>
    </row>
    <row r="603" ht="12.75">
      <c r="C603" s="4"/>
    </row>
    <row r="604" ht="12.75">
      <c r="C604" s="4"/>
    </row>
    <row r="605" ht="12.75">
      <c r="C605" s="4"/>
    </row>
    <row r="606" ht="12.75">
      <c r="C606" s="4"/>
    </row>
    <row r="607" ht="12.75">
      <c r="C607" s="4"/>
    </row>
    <row r="608" ht="12.75">
      <c r="C608" s="4"/>
    </row>
    <row r="609" ht="12.75">
      <c r="C609" s="4"/>
    </row>
    <row r="610" ht="12.75">
      <c r="C610" s="4"/>
    </row>
    <row r="611" ht="12.75">
      <c r="C611" s="4"/>
    </row>
    <row r="612" ht="12.75">
      <c r="C612" s="4"/>
    </row>
    <row r="613" ht="12.75">
      <c r="C613" s="4"/>
    </row>
    <row r="614" ht="12.75">
      <c r="C614" s="4"/>
    </row>
    <row r="615" ht="12.75">
      <c r="C615" s="4"/>
    </row>
    <row r="616" ht="12.75">
      <c r="C616" s="4"/>
    </row>
    <row r="617" ht="12.75">
      <c r="C617" s="4"/>
    </row>
    <row r="618" ht="12.75">
      <c r="C618" s="4"/>
    </row>
    <row r="619" ht="12.75">
      <c r="C619" s="4"/>
    </row>
    <row r="620" ht="12.75">
      <c r="C620" s="4"/>
    </row>
    <row r="621" ht="12.75">
      <c r="C621" s="4"/>
    </row>
    <row r="622" ht="12.75">
      <c r="C622" s="4"/>
    </row>
    <row r="623" ht="12.75">
      <c r="C623" s="4"/>
    </row>
    <row r="624" ht="12.75">
      <c r="C624" s="4"/>
    </row>
    <row r="625" ht="12.75">
      <c r="C625" s="4"/>
    </row>
    <row r="626" ht="12.75">
      <c r="C626" s="4"/>
    </row>
    <row r="627" ht="12.75">
      <c r="C627" s="4"/>
    </row>
    <row r="628" ht="12.75">
      <c r="C628" s="4"/>
    </row>
    <row r="629" ht="12.75">
      <c r="C629" s="4"/>
    </row>
    <row r="630" ht="12.75">
      <c r="C630" s="4"/>
    </row>
    <row r="631" ht="12.75">
      <c r="C631" s="4"/>
    </row>
    <row r="632" ht="12.75">
      <c r="C632" s="4"/>
    </row>
    <row r="633" ht="12.75">
      <c r="C633" s="4"/>
    </row>
    <row r="634" ht="12.75">
      <c r="C634" s="4"/>
    </row>
    <row r="635" ht="12.75">
      <c r="C635" s="4"/>
    </row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</sheetData>
  <sheetProtection/>
  <printOptions horizontalCentered="1"/>
  <pageMargins left="0" right="0" top="0.25" bottom="0.25" header="0.5" footer="0.5"/>
  <pageSetup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</dc:creator>
  <cp:keywords/>
  <dc:description/>
  <cp:lastModifiedBy>Christel, Mary Lynn</cp:lastModifiedBy>
  <cp:lastPrinted>2005-05-31T15:38:03Z</cp:lastPrinted>
  <dcterms:created xsi:type="dcterms:W3CDTF">2005-05-31T15:34:27Z</dcterms:created>
  <dcterms:modified xsi:type="dcterms:W3CDTF">2014-06-06T17:15:00Z</dcterms:modified>
  <cp:category/>
  <cp:version/>
  <cp:contentType/>
  <cp:contentStatus/>
</cp:coreProperties>
</file>